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jenni\Desktop\Datascience bootcamp\HW\HW Week 1\"/>
    </mc:Choice>
  </mc:AlternateContent>
  <xr:revisionPtr revIDLastSave="0" documentId="13_ncr:1_{33BDAB00-8533-41FE-90EC-8410543CF823}" xr6:coauthVersionLast="47" xr6:coauthVersionMax="47" xr10:uidLastSave="{00000000-0000-0000-0000-000000000000}"/>
  <bookViews>
    <workbookView xWindow="-120" yWindow="-120" windowWidth="29040" windowHeight="15720" xr2:uid="{00000000-000D-0000-FFFF-FFFF00000000}"/>
  </bookViews>
  <sheets>
    <sheet name="Crowdfunding_orignal data" sheetId="1" r:id="rId1"/>
    <sheet name="Pivot Table 1" sheetId="2" r:id="rId2"/>
    <sheet name="Pivot Table 2" sheetId="4" r:id="rId3"/>
    <sheet name="Pivot Table 3" sheetId="7" r:id="rId4"/>
    <sheet name="Crowdfunding Goal Analysis" sheetId="8" r:id="rId5"/>
    <sheet name="Statistical Analysis" sheetId="9" r:id="rId6"/>
  </sheets>
  <definedNames>
    <definedName name="_xlnm._FilterDatabase" localSheetId="0" hidden="1">'Crowdfunding_orignal data'!$B$2:$T$2</definedName>
    <definedName name="_xlcn.WorksheetConnection_CrowdfundingBook_JenniferFoster.xlsxTable11" hidden="1">Table1[]</definedName>
  </definedNames>
  <calcPr calcId="191029"/>
  <pivotCaches>
    <pivotCache cacheId="0" r:id="rId7"/>
    <pivotCache cacheId="1" r:id="rId8"/>
  </pivotCaches>
  <extLst>
    <ext xmlns:x15="http://schemas.microsoft.com/office/spreadsheetml/2010/11/main" uri="{FCE2AD5D-F65C-4FA6-A056-5C36A1767C68}">
      <x15:dataModel>
        <x15:modelTables>
          <x15:modelTable id="Table1" name="Table1" connection="WorksheetConnection_CrowdfundingBook_Jennifer Foster.xlsx!Table1"/>
        </x15:modelTables>
        <x15:extLst>
          <ext xmlns:x16="http://schemas.microsoft.com/office/spreadsheetml/2014/11/main" uri="{9835A34E-60A6-4A7C-AAB8-D5F71C897F49}">
            <x16:modelTimeGroupings>
              <x16:modelTimeGrouping tableName="Table1" columnName="Date Created Converstion" columnId="Date Created Converstion">
                <x16:calculatedTimeColumn columnName="Date Created Converstion (Year)" columnId="Date Created Converstion (Year)" contentType="years" isSelected="1"/>
                <x16:calculatedTimeColumn columnName="Date Created Converstion (Quarter)" columnId="Date Created Converstion (Quarter)" contentType="quarters" isSelected="1"/>
                <x16:calculatedTimeColumn columnName="Date Created Converstion (Month Index)" columnId="Date Created Converstion (Month Index)" contentType="monthsindex" isSelected="1"/>
                <x16:calculatedTimeColumn columnName="Date Created Converstion (Month)" columnId="Date Created Converst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2" l="1"/>
  <c r="H20" i="7"/>
  <c r="H14" i="2"/>
  <c r="H13" i="2"/>
  <c r="H12" i="2"/>
  <c r="H11" i="2"/>
  <c r="H10" i="2"/>
  <c r="H8" i="2"/>
  <c r="H7" i="2"/>
  <c r="H6" i="2"/>
  <c r="H18" i="7"/>
  <c r="H17" i="7"/>
  <c r="H16" i="7"/>
  <c r="H15" i="7"/>
  <c r="H14" i="7"/>
  <c r="H13" i="7"/>
  <c r="H12" i="7"/>
  <c r="H11" i="7"/>
  <c r="H10" i="7"/>
  <c r="H9" i="7"/>
  <c r="H8" i="7"/>
  <c r="D7" i="9"/>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E6" i="8"/>
  <c r="D3" i="8"/>
  <c r="E3" i="8"/>
  <c r="D4" i="8"/>
  <c r="E4" i="8"/>
  <c r="D5" i="8"/>
  <c r="E5" i="8"/>
  <c r="D6" i="8"/>
  <c r="D7" i="8"/>
  <c r="E7" i="8"/>
  <c r="D8" i="8"/>
  <c r="E8" i="8"/>
  <c r="D9" i="8"/>
  <c r="E9" i="8"/>
  <c r="D10" i="8"/>
  <c r="E10" i="8"/>
  <c r="D11" i="8"/>
  <c r="E11" i="8"/>
  <c r="D12" i="8"/>
  <c r="E12" i="8"/>
  <c r="D13" i="8"/>
  <c r="E13" i="8"/>
  <c r="D14" i="8"/>
  <c r="E14" i="8"/>
  <c r="C14" i="8"/>
  <c r="C5" i="8"/>
  <c r="C6" i="8"/>
  <c r="C7" i="8"/>
  <c r="C8" i="8"/>
  <c r="C9" i="8"/>
  <c r="C10" i="8"/>
  <c r="C11" i="8"/>
  <c r="C12" i="8"/>
  <c r="C13" i="8"/>
  <c r="C4" i="8"/>
  <c r="U12" i="1"/>
  <c r="V3"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D6" i="9"/>
  <c r="K15" i="9"/>
  <c r="K14" i="9"/>
  <c r="H7" i="9"/>
  <c r="H6" i="9"/>
  <c r="H5" i="9"/>
  <c r="H4" i="9"/>
  <c r="H3" i="9"/>
  <c r="H2" i="9"/>
  <c r="K12" i="9"/>
  <c r="K11" i="9"/>
  <c r="D5" i="9"/>
  <c r="D4" i="9"/>
  <c r="D3" i="9"/>
  <c r="D2" i="9"/>
  <c r="C3" i="8"/>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U3" i="1"/>
  <c r="U4" i="1"/>
  <c r="U5" i="1"/>
  <c r="U6" i="1"/>
  <c r="U7" i="1"/>
  <c r="U8" i="1"/>
  <c r="U9" i="1"/>
  <c r="U10" i="1"/>
  <c r="U11"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H7" i="7"/>
  <c r="F14" i="8" l="1"/>
  <c r="H14" i="8" s="1"/>
  <c r="F3" i="8"/>
  <c r="H3" i="8" s="1"/>
  <c r="I3" i="8" l="1"/>
  <c r="G14" i="8"/>
  <c r="G3" i="8"/>
  <c r="I14" i="8"/>
  <c r="F5" i="8"/>
  <c r="G5" i="8" s="1"/>
  <c r="F4" i="8"/>
  <c r="G4" i="8" s="1"/>
  <c r="J3" i="8" l="1"/>
  <c r="H5" i="8"/>
  <c r="I5" i="8"/>
  <c r="J14" i="8"/>
  <c r="H4" i="8"/>
  <c r="I4" i="8"/>
  <c r="F6" i="8"/>
  <c r="I6" i="8" s="1"/>
  <c r="J5" i="8" l="1"/>
  <c r="J4" i="8"/>
  <c r="G6" i="8"/>
  <c r="F7" i="8"/>
  <c r="G7" i="8" s="1"/>
  <c r="H6" i="8"/>
  <c r="F8" i="8"/>
  <c r="I8" i="8" s="1"/>
  <c r="J6" i="8" l="1"/>
  <c r="F9" i="8"/>
  <c r="I9" i="8" s="1"/>
  <c r="H8" i="8"/>
  <c r="I7" i="8"/>
  <c r="H7" i="8"/>
  <c r="J7" i="8" s="1"/>
  <c r="G8" i="8"/>
  <c r="J8" i="8" l="1"/>
  <c r="F10" i="8"/>
  <c r="I10" i="8" s="1"/>
  <c r="H9" i="8"/>
  <c r="G9" i="8"/>
  <c r="H10" i="8" l="1"/>
  <c r="G10" i="8"/>
  <c r="J9" i="8"/>
  <c r="F11" i="8"/>
  <c r="J10" i="8" l="1"/>
  <c r="I11" i="8"/>
  <c r="H11" i="8"/>
  <c r="F12" i="8"/>
  <c r="G12" i="8" s="1"/>
  <c r="G11" i="8"/>
  <c r="J11" i="8" l="1"/>
  <c r="F13" i="8"/>
  <c r="G13" i="8" s="1"/>
  <c r="I12" i="8"/>
  <c r="H12" i="8"/>
  <c r="J12" i="8" l="1"/>
  <c r="I13" i="8"/>
  <c r="H13" i="8"/>
  <c r="J1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3093AD-F8E5-4673-B21D-02250738AD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606FD88-B322-4596-A987-DBE7FE9D8055}" name="WorksheetConnection_CrowdfundingBook_Jennifer Foster.xlsx!Table1" type="102" refreshedVersion="8" minRefreshableVersion="5">
    <extLst>
      <ext xmlns:x15="http://schemas.microsoft.com/office/spreadsheetml/2010/11/main" uri="{DE250136-89BD-433C-8126-D09CA5730AF9}">
        <x15:connection id="Table1" autoDelete="1">
          <x15:rangePr sourceName="_xlcn.WorksheetConnection_CrowdfundingBook_JenniferFoster.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Parent Category].[All]}"/>
    <s v="{[Table1].[Date Created Converst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<sst xmlns="http://schemas.openxmlformats.org/spreadsheetml/2006/main" count="7703" uniqueCount="2130">
  <si>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</si>
  <si>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</si>
  <si>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</si>
  <si>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</si>
  <si>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</si>
  <si>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</si>
  <si>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</si>
  <si>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</si>
  <si>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</si>
  <si>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</si>
  <si>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</si>
  <si>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</si>
  <si>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</si>
  <si>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</si>
  <si>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</si>
  <si>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</si>
  <si>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</si>
  <si>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</si>
  <si>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</si>
  <si>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</si>
  <si>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</si>
  <si>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</si>
  <si>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</si>
  <si>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</si>
  <si>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</si>
  <si>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</si>
  <si>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</si>
  <si>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</si>
  <si>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</si>
  <si>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</si>
  <si>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</si>
  <si>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</si>
  <si>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</si>
  <si>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</si>
  <si>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</si>
  <si>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</si>
  <si>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</si>
  <si>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</si>
  <si>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</si>
  <si>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</si>
  <si>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</si>
  <si>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</si>
  <si>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</si>
  <si>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</si>
  <si>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</si>
  <si>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</si>
  <si>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</si>
  <si>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</si>
  <si>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</si>
  <si>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</si>
  <si>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</si>
  <si>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</si>
  <si>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</si>
  <si>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</si>
  <si>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</si>
  <si>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</si>
  <si>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</si>
  <si>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</si>
  <si>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</si>
  <si>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</si>
  <si>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</si>
  <si>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</si>
  <si>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</si>
  <si>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</si>
  <si>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</si>
  <si>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</si>
  <si>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</si>
  <si>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</si>
  <si>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</si>
  <si>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</si>
  <si>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</si>
  <si>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</si>
  <si>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</si>
  <si>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</si>
  <si>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</si>
  <si>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</si>
  <si>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</si>
  <si>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</si>
  <si>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</si>
  <si>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</si>
  <si>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</si>
  <si>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</si>
  <si>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</si>
  <si>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</si>
  <si>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</si>
  <si>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</si>
  <si>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</si>
  <si>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</si>
  <si>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</si>
  <si>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</si>
  <si>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</si>
  <si>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</si>
  <si>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</si>
  <si>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</si>
  <si>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</si>
  <si>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</si>
  <si>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</si>
  <si>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</si>
  <si>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</si>
  <si>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</si>
  <si>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</si>
  <si>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</si>
  <si>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</si>
  <si>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</si>
  <si>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</si>
  <si>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</si>
  <si>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</si>
  <si>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</si>
  <si>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</si>
  <si>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</si>
  <si>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</si>
  <si>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</si>
  <si>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</si>
  <si>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</si>
  <si>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</si>
  <si>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</si>
  <si>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</si>
  <si>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</si>
  <si>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</si>
  <si>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</si>
  <si>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</si>
  <si>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</si>
  <si>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</si>
  <si>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</si>
  <si>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</si>
  <si>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</si>
  <si>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</si>
  <si>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</si>
  <si>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</si>
  <si>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</si>
  <si>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</si>
  <si>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</si>
  <si>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</si>
  <si>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</si>
  <si>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</si>
  <si>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</si>
  <si>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</si>
  <si>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</si>
  <si>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</si>
  <si>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</si>
  <si>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</si>
  <si>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</si>
  <si>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</si>
  <si>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</si>
  <si>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</si>
  <si>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</si>
  <si>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</si>
  <si>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</si>
  <si>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</si>
  <si>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</si>
  <si>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</si>
  <si>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</si>
  <si>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</si>
  <si>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</si>
  <si>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</si>
  <si>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</si>
  <si>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</si>
  <si>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</si>
  <si>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</si>
  <si>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</si>
  <si>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</si>
  <si>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</si>
  <si>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</si>
  <si>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</si>
  <si>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</si>
  <si>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</si>
  <si>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</si>
  <si>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</si>
  <si>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</si>
  <si>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</si>
  <si>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</si>
  <si>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</si>
  <si>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</si>
  <si>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</si>
  <si>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</si>
  <si>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</si>
  <si>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</si>
  <si>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</si>
  <si>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</si>
  <si>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</si>
  <si>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</si>
  <si>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</si>
  <si>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</si>
  <si>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</si>
  <si>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</si>
  <si>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</si>
  <si>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</si>
  <si>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</si>
  <si>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</si>
  <si>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</si>
  <si>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</si>
  <si>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</si>
  <si>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</si>
  <si>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</si>
  <si>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</si>
  <si>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</si>
  <si>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</si>
  <si>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</si>
  <si>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</si>
  <si>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</si>
  <si>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</si>
  <si>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</si>
  <si>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</si>
  <si>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</si>
  <si>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</si>
  <si>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</si>
  <si>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</si>
  <si>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</si>
  <si>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</si>
  <si>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</si>
  <si>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</si>
  <si>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</si>
  <si>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</si>
  <si>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</si>
  <si>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</si>
  <si>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</si>
  <si>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</si>
  <si>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</si>
  <si>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</si>
  <si>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</si>
  <si>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</si>
  <si>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</si>
  <si>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</si>
  <si>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</si>
  <si>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</si>
  <si>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</si>
  <si>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</si>
  <si>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</si>
  <si>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</si>
  <si>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</si>
  <si>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</si>
  <si>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</si>
  <si>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</si>
  <si>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</si>
  <si>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</si>
  <si>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</si>
  <si>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</si>
  <si>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</si>
  <si>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</si>
  <si>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</si>
  <si>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</si>
  <si>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</si>
  <si>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</si>
  <si>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</si>
  <si>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</si>
  <si>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</si>
  <si>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</si>
  <si>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</si>
  <si>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</si>
  <si>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</si>
  <si>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</si>
  <si>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</si>
  <si>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</si>
  <si>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</si>
  <si>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</si>
  <si>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</si>
  <si>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</si>
  <si>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</si>
  <si>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</si>
  <si>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</si>
  <si>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</si>
  <si>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</si>
  <si>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</si>
  <si>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</si>
  <si>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</si>
  <si>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</si>
  <si>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</si>
  <si>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</si>
  <si>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</si>
  <si>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</si>
  <si>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</si>
  <si>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</si>
  <si>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</si>
  <si>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</si>
  <si>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</si>
  <si>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</si>
  <si>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</si>
  <si>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</si>
  <si>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</si>
  <si>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</si>
  <si>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</si>
  <si>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</si>
  <si>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</si>
  <si>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</si>
  <si>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</si>
  <si>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</si>
  <si>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</si>
  <si>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</si>
  <si>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</si>
  <si>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</si>
  <si>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</si>
  <si>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</si>
  <si>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</si>
  <si>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</si>
  <si>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</si>
  <si>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</si>
  <si>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</si>
  <si>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</si>
  <si>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</si>
  <si>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</si>
  <si>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</si>
  <si>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</si>
  <si>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</si>
  <si>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</si>
  <si>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</si>
  <si>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</si>
  <si>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</si>
  <si>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</si>
  <si>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</si>
  <si>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</si>
  <si>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</si>
  <si>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</si>
  <si>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</si>
  <si>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</si>
  <si>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</si>
  <si>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</si>
  <si>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</si>
  <si>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</si>
  <si>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</si>
  <si>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</si>
  <si>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</si>
  <si>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</si>
  <si>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</si>
  <si>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</si>
  <si>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</si>
  <si>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</si>
  <si>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</si>
  <si>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</si>
  <si>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</si>
  <si>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</si>
  <si>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</si>
  <si>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</si>
  <si>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</si>
  <si>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</si>
  <si>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</si>
  <si>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</si>
  <si>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</si>
  <si>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</si>
  <si>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</si>
  <si>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</si>
  <si>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</si>
  <si>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</si>
  <si>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</si>
  <si>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</si>
  <si>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</si>
  <si>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</si>
  <si>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</si>
  <si>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</si>
  <si>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</si>
  <si>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</si>
  <si>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</si>
  <si>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</si>
  <si>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</si>
  <si>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</si>
  <si>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</si>
  <si>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</si>
  <si>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</si>
  <si>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</si>
  <si>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</si>
  <si>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</si>
  <si>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</si>
  <si>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</si>
  <si>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</si>
  <si>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</si>
  <si>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</si>
  <si>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</si>
  <si>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</si>
  <si>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</si>
  <si>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</si>
  <si>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</si>
  <si>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</si>
  <si>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</si>
  <si>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</si>
  <si>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</si>
  <si>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</si>
  <si>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</si>
  <si>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</si>
  <si>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</si>
  <si>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</si>
  <si>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</si>
  <si>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</si>
  <si>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</si>
  <si>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</si>
  <si>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</si>
  <si>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</si>
  <si>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</si>
  <si>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</si>
  <si>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</si>
  <si>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</si>
  <si>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</si>
  <si>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</si>
  <si>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</si>
  <si>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</si>
  <si>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</si>
  <si>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</si>
  <si>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</si>
  <si>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</si>
  <si>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</si>
  <si>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</si>
  <si>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</si>
  <si>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</si>
  <si>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</si>
  <si>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</si>
  <si>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</si>
  <si>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</si>
  <si>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</si>
  <si>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</si>
  <si>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</si>
  <si>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</si>
  <si>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</si>
  <si>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</si>
  <si>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</si>
  <si>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</si>
  <si>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</si>
  <si>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</si>
  <si>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</si>
  <si>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</si>
  <si>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</si>
  <si>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</si>
  <si>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</si>
  <si>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</si>
  <si>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</si>
  <si>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</si>
  <si>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</si>
  <si>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</si>
  <si>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</si>
  <si>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</si>
  <si>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</si>
  <si>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</si>
  <si>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</si>
  <si>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</si>
  <si>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</si>
  <si>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</si>
  <si>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</si>
  <si>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</si>
  <si>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</si>
  <si>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</si>
  <si>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</si>
  <si>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</si>
  <si>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</si>
  <si>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</si>
  <si>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</si>
  <si>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</si>
  <si>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</si>
  <si>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</si>
  <si>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</si>
  <si>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</si>
  <si>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</si>
  <si>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</si>
  <si>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</si>
  <si>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</si>
  <si>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</si>
  <si>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</si>
  <si>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</si>
  <si>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</si>
  <si>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</si>
  <si>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</si>
  <si>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</si>
  <si>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</si>
  <si>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</si>
  <si>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</si>
  <si>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</si>
  <si>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</si>
  <si>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</si>
  <si>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</si>
  <si>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</si>
  <si>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</si>
  <si>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</si>
  <si>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</si>
  <si>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</si>
  <si>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</si>
  <si>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</si>
  <si>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</si>
  <si>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</si>
  <si>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</si>
  <si>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</si>
  <si>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</si>
  <si>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</si>
  <si>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</si>
  <si>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</si>
  <si>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</si>
  <si>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</si>
  <si>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</si>
  <si>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</si>
  <si>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</si>
  <si>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</si>
  <si>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</si>
  <si>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</si>
  <si>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</si>
  <si>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</si>
  <si>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</si>
  <si>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</si>
  <si>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</si>
  <si>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</si>
  <si>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</si>
  <si>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</si>
  <si>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</si>
  <si>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</si>
  <si>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</si>
  <si>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</si>
  <si>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</si>
  <si>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</si>
  <si>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</si>
  <si>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</si>
  <si>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</si>
  <si>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</si>
  <si>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</si>
  <si>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</si>
  <si>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</si>
  <si>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</si>
  <si>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</si>
  <si>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</si>
  <si>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</si>
  <si>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</si>
  <si>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</si>
  <si>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</si>
  <si>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</si>
  <si>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</si>
  <si>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</si>
  <si>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</si>
  <si>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</si>
  <si>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</si>
  <si>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</si>
  <si>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</si>
  <si>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</si>
  <si>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</si>
  <si>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</si>
  <si>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</si>
  <si>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</si>
  <si>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</si>
  <si>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</si>
  <si>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</si>
  <si>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</si>
  <si>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</si>
  <si>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</si>
  <si>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</si>
  <si>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</si>
  <si>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</si>
  <si>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</si>
  <si>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</si>
  <si>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</si>
  <si>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</si>
  <si>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</si>
  <si>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</si>
  <si>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</si>
  <si>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</si>
  <si>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</si>
  <si>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</si>
  <si>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</si>
  <si>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</si>
  <si>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</si>
  <si>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</si>
  <si>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</si>
  <si>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</si>
  <si>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</si>
  <si>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</si>
  <si>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</si>
  <si>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</si>
  <si>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</si>
  <si>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</si>
  <si>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</si>
  <si>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</si>
  <si>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</si>
  <si>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</si>
  <si>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</si>
  <si>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</si>
  <si>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</si>
  <si>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</si>
  <si>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</si>
  <si>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</si>
  <si>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</si>
  <si>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</si>
  <si>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</si>
  <si>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</si>
  <si>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</si>
  <si>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</si>
  <si>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</si>
  <si>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</si>
  <si>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</si>
  <si>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</si>
  <si>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</si>
  <si>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</si>
  <si>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</si>
  <si>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</si>
  <si>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</si>
  <si>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</si>
  <si>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</si>
  <si>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</si>
  <si>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</si>
  <si>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</si>
  <si>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</si>
  <si>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</si>
  <si>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</si>
  <si>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</si>
  <si>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</si>
  <si>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</si>
  <si>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</si>
  <si>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</si>
  <si>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</si>
  <si>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</si>
  <si>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</si>
  <si>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</si>
  <si>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</si>
  <si>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</si>
  <si>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</si>
  <si>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</si>
  <si>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</si>
  <si>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</si>
  <si>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</si>
  <si>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</si>
  <si>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</si>
  <si>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</si>
  <si>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</si>
  <si>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</si>
  <si>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</si>
  <si>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</si>
  <si>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</si>
  <si>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</si>
  <si>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</si>
  <si>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</si>
  <si>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</si>
  <si>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</si>
  <si>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</si>
  <si>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</si>
  <si>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</si>
  <si>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</si>
  <si>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</si>
  <si>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</si>
  <si>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</si>
  <si>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</si>
  <si>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</si>
  <si>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</si>
  <si>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</si>
  <si>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</si>
  <si>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</si>
  <si>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</si>
  <si>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</si>
  <si>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</si>
  <si>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</si>
  <si>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</si>
  <si>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</si>
  <si>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</si>
  <si>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</si>
  <si>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</si>
  <si>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</si>
  <si>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</si>
  <si>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</si>
  <si>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</si>
  <si>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</si>
  <si>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</si>
  <si>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</si>
  <si>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</si>
  <si>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</si>
  <si>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</si>
  <si>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</si>
  <si>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</si>
  <si>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</si>
  <si>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</si>
  <si>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</si>
  <si>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</si>
  <si>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</si>
  <si>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</si>
  <si>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</si>
  <si>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</si>
  <si>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</si>
  <si>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</si>
  <si>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</si>
  <si>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</si>
  <si>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</si>
  <si>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</si>
  <si>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</si>
  <si>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</si>
  <si>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</si>
  <si>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</si>
  <si>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</si>
  <si>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</si>
  <si>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</si>
  <si>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</si>
  <si>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</si>
  <si>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</si>
  <si>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</si>
  <si>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</si>
  <si>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</si>
  <si>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</si>
  <si>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</si>
  <si>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</si>
  <si>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</si>
  <si>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</si>
  <si>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</si>
  <si>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</si>
  <si>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</si>
  <si>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</si>
  <si>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</si>
  <si>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</si>
  <si>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</si>
  <si>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</si>
  <si>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</si>
  <si>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</si>
  <si>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</si>
  <si>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</si>
  <si>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</si>
  <si>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</si>
  <si>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</si>
  <si>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</si>
  <si>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</si>
  <si>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</si>
  <si>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</si>
  <si>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</si>
  <si>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</si>
  <si>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</si>
  <si>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</si>
  <si>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</si>
  <si>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</si>
  <si>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</si>
  <si>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</si>
  <si>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</si>
  <si>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</si>
  <si>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</si>
  <si>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</si>
  <si>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</si>
  <si>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</si>
  <si>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</si>
  <si>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</si>
  <si>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</si>
  <si>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</si>
  <si>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</si>
  <si>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</si>
  <si>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</si>
  <si>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</si>
  <si>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</si>
  <si>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</si>
  <si>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</si>
  <si>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</si>
  <si>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</si>
  <si>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</si>
  <si>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</si>
  <si>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</si>
  <si>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</si>
  <si>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</si>
  <si>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</si>
  <si>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</si>
  <si>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</si>
  <si>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</si>
  <si>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</si>
  <si>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</si>
  <si>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</si>
  <si>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</si>
  <si>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</si>
  <si>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</si>
  <si>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</si>
  <si>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</si>
  <si>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</si>
  <si>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</si>
  <si>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</si>
  <si>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</si>
  <si>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</si>
  <si>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</si>
  <si>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</si>
  <si>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</si>
  <si>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</si>
  <si>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</si>
  <si>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</si>
  <si>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</si>
  <si>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</si>
  <si>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</si>
  <si>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</si>
  <si>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</si>
  <si>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</si>
  <si>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</si>
  <si>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</si>
  <si>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</si>
  <si>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</si>
  <si>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</si>
  <si>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</si>
  <si>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</si>
  <si>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</si>
  <si>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</si>
  <si>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</si>
  <si>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</si>
  <si>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</si>
  <si>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</si>
  <si>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</si>
  <si>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</si>
  <si>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</si>
  <si>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</si>
  <si>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</si>
  <si>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</si>
  <si>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</si>
  <si>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</si>
  <si>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</si>
  <si>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</si>
  <si>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</si>
  <si>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</si>
  <si>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</si>
  <si>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</si>
  <si>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</si>
  <si>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</si>
  <si>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</si>
  <si>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</si>
  <si>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</si>
  <si>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</si>
  <si>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</si>
  <si>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</si>
  <si>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</si>
  <si>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</si>
  <si>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</si>
  <si>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</si>
  <si>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</si>
  <si>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</si>
  <si>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</si>
  <si>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</si>
  <si>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</si>
  <si>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</si>
  <si>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</si>
  <si>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</si>
  <si>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</si>
  <si>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</si>
  <si>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</si>
  <si>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</si>
  <si>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</si>
  <si>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</si>
  <si>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</si>
  <si>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</si>
  <si>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</si>
  <si>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</si>
  <si>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</si>
  <si>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</si>
  <si>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</si>
  <si>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</si>
  <si>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</si>
  <si>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</si>
  <si>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</si>
  <si>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</si>
  <si>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</si>
  <si>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</si>
  <si>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</si>
  <si>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</si>
  <si>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</si>
  <si>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</si>
  <si>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</si>
  <si>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</si>
  <si>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</si>
  <si>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</si>
  <si>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</si>
  <si>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</si>
  <si>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</si>
  <si>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</si>
  <si>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</si>
  <si>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</si>
  <si>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</si>
  <si>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</si>
  <si>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</si>
  <si>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</si>
  <si>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</si>
  <si>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</si>
  <si>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</si>
  <si>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</si>
  <si>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</si>
  <si>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</si>
  <si>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</si>
  <si>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</si>
  <si>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</si>
  <si>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</si>
  <si>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</si>
  <si>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</si>
  <si>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</si>
  <si>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</si>
  <si>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</si>
  <si>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</si>
  <si>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</si>
  <si>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</si>
  <si>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</si>
  <si>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</si>
  <si>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</si>
  <si>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</si>
  <si>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</si>
  <si>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</si>
  <si>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</si>
  <si>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</si>
  <si>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</si>
  <si>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</si>
  <si>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</si>
  <si>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</si>
  <si>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</si>
  <si>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</si>
  <si>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</si>
  <si>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</si>
  <si>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</si>
  <si>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</si>
  <si>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</si>
  <si>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</si>
  <si>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</si>
  <si>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</si>
  <si>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</si>
  <si>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</si>
  <si>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</si>
  <si>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</si>
  <si>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</si>
  <si>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</si>
  <si>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</si>
  <si>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</si>
  <si>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</si>
  <si>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</si>
  <si>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</si>
  <si>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</si>
  <si>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</si>
  <si>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</si>
  <si>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</si>
  <si>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</si>
  <si>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</si>
  <si>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</si>
  <si>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</si>
  <si>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</si>
  <si>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</si>
  <si>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</si>
  <si>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</si>
  <si>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</si>
  <si>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</si>
  <si>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</si>
  <si>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</si>
  <si>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</si>
  <si>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</si>
  <si>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</si>
  <si>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</si>
  <si>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</si>
  <si>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</si>
  <si>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</si>
  <si>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</si>
  <si>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</si>
  <si>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</si>
  <si>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</si>
  <si>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</si>
  <si>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</si>
  <si>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</si>
  <si>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</si>
  <si>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</si>
  <si>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</si>
  <si>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</si>
  <si>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</si>
  <si>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</si>
  <si>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</si>
  <si>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</si>
  <si>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</si>
  <si>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</si>
  <si>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</si>
  <si>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</si>
  <si>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</si>
  <si>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</si>
  <si>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</si>
  <si>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</si>
  <si>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</si>
  <si>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</si>
  <si>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</si>
  <si>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</si>
  <si>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</si>
  <si>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</si>
  <si>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</si>
  <si>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</si>
  <si>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</si>
  <si>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</si>
  <si>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</si>
  <si>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</si>
  <si>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</si>
  <si>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</si>
  <si>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</si>
  <si>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</si>
  <si>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</si>
  <si>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</si>
  <si>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</si>
  <si>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</si>
  <si>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</si>
  <si>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</si>
  <si>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</si>
  <si>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</si>
  <si>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</si>
  <si>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</si>
  <si>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</si>
  <si>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</si>
  <si>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</si>
  <si>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</si>
  <si>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</si>
  <si>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</si>
  <si>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</si>
  <si>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</si>
  <si>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</si>
  <si>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</si>
  <si>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</si>
  <si>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</si>
  <si>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</si>
  <si>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</si>
  <si>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</si>
  <si>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</si>
  <si>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</si>
  <si>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</si>
  <si>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</si>
  <si>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</si>
  <si>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</si>
  <si>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</si>
  <si>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</si>
  <si>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</si>
  <si>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</si>
  <si>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</si>
  <si>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</si>
  <si>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</si>
  <si>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</si>
  <si>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</si>
  <si>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</si>
  <si>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</si>
  <si>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</si>
  <si>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</si>
  <si>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</si>
  <si>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</si>
  <si>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</si>
  <si>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</si>
  <si>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</si>
  <si>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</si>
  <si>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</si>
  <si>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</si>
  <si>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</si>
  <si>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</si>
  <si>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</si>
  <si>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</si>
  <si>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</si>
  <si>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</si>
  <si>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</si>
  <si>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</si>
  <si>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</si>
  <si>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</si>
  <si>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</si>
  <si>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</si>
  <si>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</si>
  <si>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</si>
  <si>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</si>
  <si>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</si>
  <si>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</si>
  <si>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</si>
  <si>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</si>
  <si>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</si>
  <si>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</si>
  <si>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</si>
  <si>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</si>
  <si>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</si>
  <si>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</si>
  <si>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</si>
  <si>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</si>
  <si>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</si>
  <si>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</si>
  <si>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</si>
  <si>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</si>
  <si>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</si>
  <si>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</si>
  <si>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</si>
  <si>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</si>
  <si>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</si>
  <si>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</si>
  <si>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</si>
  <si>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</si>
  <si>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</si>
  <si>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</si>
  <si>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</si>
  <si>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</si>
  <si>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</si>
  <si>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</si>
  <si>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</si>
  <si>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</si>
  <si>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</si>
  <si>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</si>
  <si>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</si>
  <si>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</si>
  <si>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</si>
  <si>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</si>
  <si>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</si>
  <si>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</si>
  <si>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</si>
  <si>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</si>
  <si>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</si>
  <si>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</si>
  <si>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</si>
  <si>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</si>
  <si>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</si>
  <si>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</si>
  <si>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</si>
  <si>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</si>
  <si>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</si>
  <si>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</si>
  <si>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</si>
  <si>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</si>
  <si>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</si>
  <si>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</si>
  <si>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</si>
  <si>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</si>
  <si>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</si>
  <si>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</si>
  <si>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</si>
  <si>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</si>
  <si>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</si>
  <si>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</si>
  <si>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</si>
  <si>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</si>
  <si>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</si>
  <si>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</si>
  <si>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</si>
  <si>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</si>
  <si>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</si>
  <si>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</si>
  <si>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</si>
  <si>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</si>
  <si>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</si>
  <si>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</si>
  <si>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</si>
  <si>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</si>
  <si>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</si>
  <si>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</si>
  <si>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</si>
  <si>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</si>
  <si>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</si>
  <si>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</si>
  <si>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</si>
  <si>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</si>
  <si>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</si>
  <si>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</si>
  <si>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</si>
  <si>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</si>
  <si>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</si>
  <si>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</si>
  <si>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</si>
  <si>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</si>
  <si>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</si>
  <si>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</si>
  <si>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</si>
  <si>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</si>
  <si>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</si>
  <si>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</si>
  <si>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</si>
  <si>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</si>
  <si>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</si>
  <si>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</si>
  <si>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</si>
  <si>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</si>
  <si>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</si>
  <si>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</si>
  <si>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</si>
  <si>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</si>
  <si>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</si>
  <si>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</si>
  <si>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</si>
  <si>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</si>
  <si>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</si>
  <si>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</si>
  <si>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</si>
  <si>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</si>
  <si>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</si>
  <si>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</si>
  <si>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</si>
  <si>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</si>
  <si>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</si>
  <si>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</si>
  <si>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</si>
  <si>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</si>
  <si>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</si>
  <si>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</si>
  <si>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</si>
  <si>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</si>
  <si>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</si>
  <si>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</si>
  <si>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</si>
  <si>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</si>
  <si>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</si>
  <si>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</si>
  <si>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</si>
  <si>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</si>
  <si>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</si>
  <si>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</si>
  <si>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</si>
  <si>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</si>
  <si>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</si>
  <si>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</si>
  <si>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</si>
  <si>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</si>
  <si>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</si>
  <si>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</si>
  <si>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</si>
  <si>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</si>
  <si>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</si>
  <si>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</si>
  <si>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</si>
  <si>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</si>
  <si>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</si>
  <si>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</si>
  <si>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</si>
  <si>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</si>
  <si>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</si>
  <si>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</si>
  <si>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</si>
  <si>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</si>
  <si>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</si>
  <si>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</si>
  <si>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</si>
  <si>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</si>
  <si>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</si>
  <si>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</si>
  <si>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</si>
  <si>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</si>
  <si>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</si>
  <si>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</si>
  <si>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</si>
  <si>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</si>
  <si>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</si>
  <si>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</si>
  <si>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</si>
  <si>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</si>
  <si>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</si>
  <si>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</si>
  <si>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</si>
  <si>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</si>
  <si>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</si>
  <si>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</si>
  <si>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</si>
  <si>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</si>
  <si>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</si>
  <si>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</si>
  <si>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</si>
  <si>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</si>
  <si>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</si>
  <si>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</si>
  <si>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</si>
  <si>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</si>
  <si>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</si>
  <si>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</si>
  <si>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</si>
  <si>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</si>
  <si>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</si>
  <si>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</si>
  <si>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</si>
  <si>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</si>
  <si>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</si>
  <si>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</si>
  <si>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</si>
  <si>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</si>
  <si>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</si>
  <si>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</si>
  <si>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</si>
  <si>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</si>
  <si>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</si>
  <si>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</si>
  <si>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</si>
  <si>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</si>
  <si>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</si>
  <si>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</si>
  <si>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</si>
  <si>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</si>
  <si>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</si>
  <si>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</si>
  <si>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</si>
  <si>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</si>
  <si>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</si>
  <si>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</si>
  <si>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</si>
  <si>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</si>
  <si>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</si>
  <si>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</si>
  <si>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</si>
  <si>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</si>
  <si>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</si>
  <si>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</si>
  <si>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</si>
  <si>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</si>
  <si>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</si>
  <si>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</si>
  <si>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</si>
  <si>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</si>
  <si>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</si>
  <si>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</si>
  <si>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</si>
  <si>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</si>
  <si>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</si>
  <si>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</si>
  <si>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</si>
  <si>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</si>
  <si>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</si>
  <si>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</si>
  <si>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</si>
  <si>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</si>
  <si>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</si>
  <si>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</si>
  <si>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</si>
  <si>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</si>
  <si>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</si>
  <si>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</si>
  <si>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</si>
  <si>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</si>
  <si>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</si>
  <si>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</si>
  <si>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</si>
  <si>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</si>
  <si>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</si>
  <si>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</si>
  <si>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</si>
  <si>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</si>
  <si>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</si>
  <si>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</si>
  <si>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</si>
  <si>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</si>
  <si>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</si>
  <si>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</si>
  <si>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</si>
  <si>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</si>
  <si>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</si>
  <si>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</si>
  <si>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</si>
  <si>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</si>
  <si>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</si>
  <si>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</si>
  <si>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</si>
  <si>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</si>
  <si>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</si>
  <si>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</si>
  <si>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</si>
  <si>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</si>
  <si>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</si>
  <si>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</si>
  <si>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</si>
  <si>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</si>
  <si>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</si>
  <si>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</si>
  <si>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</si>
  <si>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</si>
  <si>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</si>
  <si>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</si>
  <si>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</si>
  <si>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</si>
  <si>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</si>
  <si>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</si>
  <si>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</si>
  <si>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</si>
  <si>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</si>
  <si>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</si>
  <si>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</si>
  <si>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</si>
  <si>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</si>
  <si>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</si>
  <si>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</si>
  <si>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</si>
  <si>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</si>
  <si>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</si>
  <si>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</si>
  <si>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</si>
  <si>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</si>
  <si>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</si>
  <si>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</si>
  <si>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</si>
  <si>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</si>
  <si>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</si>
  <si>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</si>
  <si>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</si>
  <si>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</si>
  <si>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</si>
  <si>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</si>
  <si>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</si>
  <si>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</si>
  <si>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</si>
  <si>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</si>
  <si>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</si>
  <si>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</si>
  <si>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</si>
  <si>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</si>
  <si>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</si>
  <si>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</si>
  <si>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</si>
  <si>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</si>
  <si>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</si>
  <si>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</si>
  <si>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</si>
  <si>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</si>
  <si>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</si>
  <si>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</si>
  <si>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</si>
  <si>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</si>
  <si>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</si>
  <si>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</si>
  <si>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</si>
  <si>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</si>
  <si>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</si>
  <si>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</si>
  <si>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</si>
  <si>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</si>
  <si>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</si>
  <si>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</si>
  <si>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</si>
  <si>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</si>
  <si>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</si>
  <si>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</si>
  <si>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</si>
  <si>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</si>
  <si>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</si>
  <si>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</si>
  <si>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</si>
  <si>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</si>
  <si>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</si>
  <si>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</si>
  <si>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</si>
  <si>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</si>
  <si>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</si>
  <si>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</si>
  <si>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</si>
  <si>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</si>
  <si>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</si>
  <si>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</si>
  <si>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</si>
  <si>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</si>
  <si>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</si>
  <si>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</si>
  <si>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</si>
  <si>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</si>
  <si>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</si>
  <si>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</si>
  <si>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</si>
  <si>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</si>
  <si>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</si>
  <si>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</si>
  <si>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</si>
  <si>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</si>
  <si>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</si>
  <si>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</si>
  <si>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</si>
  <si>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</si>
  <si>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</si>
  <si>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</si>
  <si>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</si>
  <si>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</si>
  <si>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</si>
  <si>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</si>
  <si>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</si>
  <si>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</si>
  <si>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</si>
  <si>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</si>
  <si>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</si>
  <si>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</si>
  <si>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</si>
  <si>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</si>
  <si>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</si>
  <si>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</si>
  <si>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</si>
  <si>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</si>
  <si>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</si>
  <si>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</si>
  <si>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</si>
  <si>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</si>
  <si>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</si>
  <si>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</si>
  <si>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</si>
  <si>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</si>
  <si>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</si>
  <si>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</si>
  <si>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</si>
  <si>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</si>
  <si>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</si>
  <si>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</si>
  <si>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</si>
  <si>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</si>
  <si>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</si>
  <si>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</si>
  <si>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</si>
  <si>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</si>
  <si>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</si>
  <si>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</si>
  <si>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</si>
  <si>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</si>
  <si>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</si>
  <si>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</si>
  <si>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</si>
  <si>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</si>
  <si>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</si>
  <si>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</si>
  <si>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</si>
  <si>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</si>
  <si>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</si>
  <si>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</si>
  <si>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</si>
  <si>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</si>
  <si>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</si>
  <si>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</si>
  <si>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</si>
  <si>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</si>
  <si>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</si>
  <si>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</si>
  <si>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</si>
  <si>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</si>
  <si>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</si>
  <si>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</si>
  <si>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</si>
  <si>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</si>
  <si>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</si>
  <si>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</si>
  <si>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</si>
  <si>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</si>
  <si>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</si>
  <si>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</si>
  <si>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</si>
  <si>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</si>
  <si>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</si>
  <si>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</si>
  <si>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</si>
  <si>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</si>
  <si>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</si>
  <si>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</si>
  <si>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</si>
  <si>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</si>
  <si>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</si>
  <si>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</si>
  <si>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</si>
  <si>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</si>
  <si>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</si>
  <si>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</si>
  <si>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</si>
  <si>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</si>
  <si>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</si>
  <si>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</si>
  <si>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</si>
  <si>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</si>
  <si>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</si>
  <si>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</si>
  <si>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</si>
  <si>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</si>
  <si>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</si>
  <si>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</si>
  <si>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</si>
  <si>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</si>
  <si>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</si>
  <si>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</si>
  <si>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</si>
  <si>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</si>
  <si>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</si>
  <si>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</si>
  <si>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</si>
  <si>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</si>
  <si>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</si>
  <si>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</si>
  <si>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</si>
  <si>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</si>
  <si>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</si>
  <si>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</si>
  <si>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</si>
  <si>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</si>
  <si>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</si>
  <si>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</si>
  <si>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</si>
  <si>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</si>
  <si>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</si>
  <si>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</si>
  <si>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</si>
  <si>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</si>
  <si>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</si>
  <si>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</si>
  <si>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</si>
  <si>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</si>
  <si>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</si>
  <si>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</si>
  <si>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</si>
  <si>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</si>
  <si>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</si>
  <si>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</si>
  <si>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</si>
  <si>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</si>
  <si>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</si>
  <si>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</si>
  <si>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</si>
  <si>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</si>
  <si>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</si>
  <si>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</si>
  <si>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</si>
  <si>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</si>
  <si>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</si>
  <si>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</si>
  <si>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</si>
  <si>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</si>
  <si>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</si>
  <si>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</si>
  <si>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</si>
  <si>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</si>
  <si>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</si>
  <si>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</si>
  <si>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</si>
  <si>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</si>
  <si>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</si>
  <si>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</si>
  <si>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</si>
  <si>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</si>
  <si>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</si>
  <si>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</si>
  <si>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</si>
  <si>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</si>
  <si>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</si>
  <si>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</si>
  <si>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</si>
  <si>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</si>
  <si>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</si>
  <si>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</si>
  <si>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</si>
  <si>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</si>
  <si>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</si>
  <si>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</si>
  <si>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</si>
  <si>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</si>
  <si>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</si>
  <si>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</si>
  <si>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</si>
  <si>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</si>
  <si>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</si>
  <si>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</si>
  <si>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</si>
  <si>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</si>
  <si>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</si>
  <si>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</si>
  <si>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</si>
  <si>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</si>
  <si>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</si>
  <si>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</si>
  <si>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</si>
  <si>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</si>
  <si>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</si>
  <si>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</si>
  <si>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</si>
  <si>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</si>
  <si>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</si>
  <si>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</si>
  <si>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</si>
  <si>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</si>
  <si>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</si>
  <si>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</si>
  <si>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</si>
  <si>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</si>
  <si>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</si>
  <si>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</si>
  <si>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</si>
  <si>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</si>
  <si>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</si>
  <si>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</si>
  <si>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</si>
  <si>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</si>
  <si>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</si>
  <si>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</si>
  <si>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</si>
  <si>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</si>
  <si>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</si>
  <si>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</si>
  <si>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</si>
  <si>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</si>
  <si>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</si>
  <si>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</si>
  <si>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</si>
  <si>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</si>
  <si>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</si>
  <si>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</si>
  <si>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</si>
  <si>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</si>
  <si>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</si>
  <si>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</si>
  <si>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</si>
  <si>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</si>
  <si>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</si>
  <si>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</si>
  <si>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</si>
  <si>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</si>
  <si>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</si>
  <si>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</si>
  <si>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</si>
  <si>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</si>
  <si>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</si>
  <si>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</si>
  <si>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</si>
  <si>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</si>
  <si>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</si>
  <si>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</si>
  <si>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</si>
  <si>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</si>
  <si>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</si>
  <si>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</si>
  <si>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</si>
  <si>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</si>
  <si>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</si>
  <si>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</si>
  <si>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</si>
  <si>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</si>
  <si>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</si>
  <si>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</si>
  <si>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</si>
  <si>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</si>
  <si>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</si>
  <si>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</si>
  <si>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</si>
  <si>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</si>
  <si>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</si>
  <si>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</si>
  <si>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</si>
  <si>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</si>
  <si>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</si>
  <si>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</si>
  <si>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</si>
  <si>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</si>
  <si>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</si>
  <si>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</si>
  <si>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</si>
  <si>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</si>
  <si>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</si>
  <si>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</si>
  <si>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</si>
  <si>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</si>
  <si>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</si>
  <si>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</si>
  <si>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</si>
  <si>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</si>
  <si>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</si>
  <si>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</si>
  <si>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</si>
  <si>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</si>
  <si>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</si>
  <si>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</si>
  <si>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</si>
  <si>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</si>
  <si>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</si>
  <si>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</si>
  <si>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</si>
  <si>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</si>
  <si>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</si>
  <si>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</si>
  <si>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</si>
  <si>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</si>
  <si>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</si>
  <si>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</si>
  <si>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</si>
  <si>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</si>
  <si>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</si>
  <si>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</si>
  <si>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</si>
  <si>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</si>
  <si>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</si>
  <si>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</si>
  <si>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</si>
  <si>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</si>
  <si>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</si>
  <si>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</si>
  <si>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</si>
  <si>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</si>
  <si>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</si>
  <si>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</si>
  <si>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</si>
  <si>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</si>
  <si>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</si>
  <si>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</si>
  <si>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</si>
  <si>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</si>
  <si>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</si>
  <si>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</si>
  <si>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</si>
  <si>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</si>
  <si>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</si>
  <si>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</si>
  <si>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</si>
  <si>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</si>
  <si>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</si>
  <si>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</si>
  <si>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</si>
  <si>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</si>
  <si>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</si>
  <si>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</si>
  <si>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</si>
  <si>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</si>
  <si>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</si>
  <si>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</si>
  <si>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</si>
  <si>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</si>
  <si>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</si>
  <si>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</si>
  <si>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</si>
  <si>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</si>
  <si>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</si>
  <si>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</si>
  <si>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</si>
  <si>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</si>
  <si>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</si>
  <si>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</si>
  <si>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</si>
  <si>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</si>
  <si>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</si>
  <si>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</si>
  <si>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</si>
  <si>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</si>
  <si>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</si>
  <si>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</si>
  <si>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</si>
  <si>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</si>
  <si>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</si>
  <si>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</si>
  <si>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</si>
  <si>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</si>
  <si>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</si>
  <si>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</si>
  <si>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</si>
  <si>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</si>
  <si>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</si>
  <si>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</si>
  <si>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</si>
  <si>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</si>
  <si>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</si>
  <si>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</si>
  <si>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</si>
  <si>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</si>
  <si>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</si>
  <si>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</si>
  <si>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</si>
  <si>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</si>
  <si>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</si>
  <si>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</si>
  <si>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</si>
  <si>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</si>
  <si>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</si>
  <si>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</si>
  <si>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</si>
  <si>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</si>
  <si>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</si>
  <si>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</si>
  <si>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</si>
  <si>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</si>
  <si>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</si>
  <si>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</si>
  <si>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</si>
  <si>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</si>
  <si>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</si>
  <si>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</si>
  <si>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</si>
  <si>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</si>
  <si>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</si>
  <si>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</si>
  <si>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</si>
  <si>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</si>
  <si>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</si>
  <si>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</si>
  <si>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</si>
  <si>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</si>
  <si>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</si>
  <si>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</si>
  <si>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</si>
  <si>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</si>
  <si>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</si>
  <si>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</si>
  <si>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</si>
  <si>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</si>
  <si>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</si>
  <si>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</si>
  <si>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</si>
  <si>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</si>
  <si>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</si>
  <si>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</si>
  <si>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</si>
  <si>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</si>
  <si>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</si>
  <si>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</si>
  <si>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</si>
  <si>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</si>
  <si>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</si>
  <si>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</si>
  <si>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</si>
  <si>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</si>
  <si>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</si>
  <si>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</si>
  <si>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</si>
  <si>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</si>
  <si>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</si>
  <si>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</si>
  <si>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</si>
  <si>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</si>
  <si>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</si>
  <si>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</si>
  <si>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</si>
  <si>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</si>
  <si>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</si>
  <si>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</si>
  <si>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</si>
  <si>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</si>
  <si>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</si>
  <si>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</si>
  <si>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</si>
  <si>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</si>
  <si>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</si>
  <si>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</si>
  <si>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</si>
  <si>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</si>
  <si>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</si>
  <si>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</si>
  <si>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</si>
  <si>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</si>
  <si>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</si>
  <si>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</si>
  <si>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</si>
  <si>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</si>
  <si>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</si>
  <si>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</si>
  <si>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</si>
  <si>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</si>
  <si>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</si>
  <si>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</si>
  <si>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</si>
  <si>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</si>
  <si>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</si>
  <si>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</si>
  <si>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</si>
  <si>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</si>
  <si>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</si>
  <si>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</si>
  <si>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</si>
  <si>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</si>
  <si>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</si>
  <si>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</si>
  <si>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</si>
  <si>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</si>
  <si>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</si>
  <si>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</si>
  <si>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</si>
  <si>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</si>
  <si>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</si>
  <si>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</si>
  <si>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</si>
  <si>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</si>
  <si>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</si>
  <si>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</si>
  <si>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</si>
  <si>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</si>
  <si>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</si>
  <si>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</si>
  <si>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</si>
  <si>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</si>
  <si>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</si>
  <si>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</si>
  <si>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</si>
  <si>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</si>
  <si>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</si>
  <si>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</si>
  <si>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</si>
  <si>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</si>
  <si>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</si>
  <si>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</si>
  <si>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</si>
  <si>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</si>
  <si>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</si>
  <si>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</si>
  <si>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</si>
  <si>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</si>
  <si>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</si>
  <si>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</si>
  <si>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</si>
  <si>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</si>
  <si>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</si>
  <si>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</si>
  <si>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</si>
  <si>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</si>
  <si>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</si>
  <si>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</si>
  <si>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</si>
  <si>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</si>
  <si>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</si>
  <si>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</si>
  <si>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</si>
  <si>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</si>
  <si>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</si>
  <si>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</si>
  <si>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</si>
  <si>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</si>
  <si>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</si>
  <si>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</si>
  <si>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</si>
  <si>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</si>
  <si>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</si>
  <si>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</si>
  <si>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</si>
  <si>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</si>
  <si>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</si>
  <si>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</si>
  <si>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</si>
  <si>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</si>
  <si>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</si>
  <si>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</si>
  <si>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</si>
  <si>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</si>
  <si>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</si>
  <si>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</si>
  <si>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</si>
  <si>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</si>
  <si>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</si>
  <si>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</si>
  <si>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</si>
  <si>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</si>
  <si>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</si>
  <si>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</si>
  <si>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</si>
  <si>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</si>
  <si>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</si>
  <si>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</si>
  <si>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</si>
  <si>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</si>
  <si>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</si>
  <si>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</si>
  <si>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</si>
  <si>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</si>
  <si>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</si>
  <si>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</si>
  <si>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</si>
  <si>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</si>
  <si>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</si>
  <si>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</si>
  <si>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</si>
  <si>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</si>
  <si>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</si>
  <si>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</si>
  <si>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</si>
  <si>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</si>
  <si>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</si>
  <si>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</si>
  <si>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</si>
  <si>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</si>
  <si>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</si>
  <si>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</si>
  <si>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</si>
  <si>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</si>
  <si>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</si>
  <si>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</si>
  <si>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</si>
  <si>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</si>
  <si>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</si>
  <si>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</si>
  <si>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</si>
  <si>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Category </t>
  </si>
  <si>
    <t xml:space="preserve">Sub-category </t>
  </si>
  <si>
    <t>Row Labels</t>
  </si>
  <si>
    <t>film &amp; video</t>
  </si>
  <si>
    <t>food</t>
  </si>
  <si>
    <t>games</t>
  </si>
  <si>
    <t>journalism</t>
  </si>
  <si>
    <t>music</t>
  </si>
  <si>
    <t>photography</t>
  </si>
  <si>
    <t>publishing</t>
  </si>
  <si>
    <t>technology</t>
  </si>
  <si>
    <t>theater</t>
  </si>
  <si>
    <t>Grand Total</t>
  </si>
  <si>
    <t>Column Labels</t>
  </si>
  <si>
    <t>Count of outcome</t>
  </si>
  <si>
    <t>Count of name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</si>
  <si>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</si>
  <si>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</si>
  <si>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</si>
  <si>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</si>
  <si>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</si>
  <si>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</si>
  <si>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</si>
  <si>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</si>
  <si>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</si>
  <si>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</si>
  <si>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</si>
  <si>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</si>
  <si>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</si>
  <si>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</si>
  <si>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</si>
  <si>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</si>
  <si>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</si>
  <si>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</si>
  <si>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</si>
  <si>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</si>
  <si>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</si>
  <si>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</si>
  <si>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</si>
  <si>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</si>
  <si>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</si>
  <si>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Converstion</t>
  </si>
  <si>
    <t>Date Ended Conversion</t>
  </si>
  <si>
    <t>Jan</t>
  </si>
  <si>
    <t>Feb</t>
  </si>
  <si>
    <t>Mar</t>
  </si>
  <si>
    <t>Apr</t>
  </si>
  <si>
    <t>May</t>
  </si>
  <si>
    <t>Jun</t>
  </si>
  <si>
    <t>Jul</t>
  </si>
  <si>
    <t>Aug</t>
  </si>
  <si>
    <t>Sep</t>
  </si>
  <si>
    <t>Oct</t>
  </si>
  <si>
    <t>Nov</t>
  </si>
  <si>
    <t>Dec</t>
  </si>
  <si>
    <t>Parent Category</t>
  </si>
  <si>
    <t>All</t>
  </si>
  <si>
    <t>Date Created Converstion (Year)</t>
  </si>
  <si>
    <t>Goal</t>
  </si>
  <si>
    <t>Number Successful</t>
  </si>
  <si>
    <t>Number Failed</t>
  </si>
  <si>
    <t>Number Canceled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</si>
  <si>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</si>
  <si>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</si>
  <si>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</si>
  <si>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</si>
  <si>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</si>
  <si>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</si>
  <si>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</si>
  <si>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</si>
  <si>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</si>
  <si>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</si>
  <si>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</si>
  <si>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</si>
  <si>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</si>
  <si>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</si>
  <si>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</si>
  <si>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</si>
  <si>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</si>
  <si>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Canceled</t>
  </si>
  <si>
    <t>Check</t>
  </si>
  <si>
    <t>Percentage Canceled</t>
  </si>
  <si>
    <t>Outcome</t>
  </si>
  <si>
    <t>Backers_count</t>
  </si>
  <si>
    <t>Campaign Name</t>
  </si>
  <si>
    <t>Mean</t>
  </si>
  <si>
    <t>Median</t>
  </si>
  <si>
    <t>Minimum</t>
  </si>
  <si>
    <t>Maximum</t>
  </si>
  <si>
    <t>Variance</t>
  </si>
  <si>
    <t>Standard Deviation</t>
  </si>
  <si>
    <t>Successful over 851</t>
  </si>
  <si>
    <t>Successful under 851</t>
  </si>
  <si>
    <t>Failed over 586</t>
  </si>
  <si>
    <t>Failed under 586</t>
  </si>
  <si>
    <t>Percent Funded2</t>
  </si>
  <si>
    <t xml:space="preserve">Note: I did percent funded two ways - column G is how the professor did it but I think column H is an easier way but I wasn't sure if we were not supposed to use the "percent" format button. </t>
  </si>
  <si>
    <t xml:space="preserve">Success rate (referenced in word doc) </t>
  </si>
  <si>
    <t>Success Rates (referenced in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</si>
</sst>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2B2B2B"/>
      <name val="Arial"/>
      <family val="2"/>
    </font>
    <font>
      <i/>
      <sz val="12"/>
      <color theme="1"/>
      <name val="Calibri"/>
      <family val="2"/>
      <scheme val="minor"/>
    </font>
    <font>
      <i/>
      <sz val="12"/>
      <color rgb="FFB2B2B2"/>
      <name val="Calibri"/>
      <family val="2"/>
      <scheme val="minor"/>
    </font>
    <font>
      <b/>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43" applyNumberFormat="1" applyFont="1"/>
    <xf numFmtId="10" fontId="0" fillId="0" borderId="0" xfId="43" applyNumberFormat="1" applyFont="1"/>
    <xf numFmtId="165" fontId="0" fillId="0" borderId="0" xfId="42" applyNumberFormat="1" applyFont="1"/>
    <xf numFmtId="0" fontId="16" fillId="33" borderId="0" xfId="0" applyFont="1" applyFill="1" applyAlignment="1">
      <alignment horizontal="center"/>
    </xf>
    <xf numFmtId="43" fontId="0" fillId="0" borderId="0" xfId="42" applyFont="1" applyAlignment="1">
      <alignment horizontal="right"/>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9" fillId="0" borderId="0" xfId="0" applyFont="1"/>
    <xf numFmtId="0" fontId="20" fillId="0" borderId="0" xfId="0" applyFont="1"/>
    <xf numFmtId="164" fontId="20" fillId="0" borderId="0" xfId="0" applyNumberFormat="1" applyFont="1"/>
    <xf numFmtId="165" fontId="19" fillId="0" borderId="0" xfId="42" applyNumberFormat="1" applyFont="1" applyFill="1" applyAlignment="1">
      <alignment horizontal="right"/>
    </xf>
    <xf numFmtId="43" fontId="0" fillId="0" borderId="0" xfId="42" applyNumberFormat="1" applyFont="1"/>
    <xf numFmtId="0" fontId="16" fillId="0" borderId="0" xfId="0" applyFont="1"/>
    <xf numFmtId="10" fontId="0" fillId="0" borderId="0" xfId="43" applyNumberFormat="1" applyFont="1" applyAlignment="1">
      <alignment horizontal="left" indent="1"/>
    </xf>
    <xf numFmtId="0" fontId="21"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4">
    <dxf>
      <fill>
        <patternFill>
          <bgColor theme="9" tint="0.59996337778862885"/>
        </patternFill>
      </fill>
    </dxf>
    <dxf>
      <fill>
        <patternFill>
          <bgColor rgb="FFFF5050"/>
        </patternFill>
      </fill>
    </dxf>
    <dxf>
      <fill>
        <patternFill>
          <bgColor theme="7" tint="0.59996337778862885"/>
        </patternFill>
      </fill>
    </dxf>
    <dxf>
      <fill>
        <patternFill>
          <bgColor theme="4" tint="0.59996337778862885"/>
        </patternFill>
      </fill>
    </dxf>
    <dxf>
      <fill>
        <patternFill>
          <bgColor theme="9" tint="0.59996337778862885"/>
        </patternFill>
      </fill>
    </dxf>
    <dxf>
      <fill>
        <patternFill>
          <bgColor rgb="FFFF5050"/>
        </patternFill>
      </fill>
    </dxf>
    <dxf>
      <fill>
        <patternFill>
          <bgColor theme="7" tint="0.59996337778862885"/>
        </patternFill>
      </fill>
    </dxf>
    <dxf>
      <fill>
        <patternFill>
          <bgColor theme="4" tint="0.59996337778862885"/>
        </patternFill>
      </fill>
    </dxf>
    <dxf>
      <font>
        <b val="0"/>
        <i val="0"/>
        <strike val="0"/>
        <condense val="0"/>
        <extend val="0"/>
        <outline val="0"/>
        <shadow val="0"/>
        <u val="none"/>
        <vertAlign val="baseline"/>
        <sz val="12"/>
        <color theme="1"/>
        <name val="Calibri"/>
        <family val="2"/>
        <scheme val="minor"/>
      </font>
      <numFmt numFmtId="35" formatCode="_(* #,##0.00_);_(* \(#,##0.00\);_(* &quot;-&quot;??_);_(@_)"/>
    </dxf>
    <dxf>
      <numFmt numFmtId="14" formatCode="0.00%"/>
    </dxf>
    <dxf>
      <numFmt numFmtId="165" formatCode="_(* #,##0_);_(* \(#,##0\);_(* &quot;-&quot;??_);_(@_)"/>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1"/>
        <color rgb="FF2B2B2B"/>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
      <numFmt numFmtId="0" formatCode="General"/>
    </dxf>
    <dxf>
      <numFmt numFmtId="0" formatCode="General"/>
    </dxf>
    <dxf>
      <numFmt numFmtId="19" formatCode="m/d/yyyy"/>
    </dxf>
    <dxf>
      <numFmt numFmtId="19" formatCode="m/d/yyyy"/>
    </dxf>
    <dxf>
      <alignment horizontal="right" vertical="bottom" textRotation="0" wrapText="0" indent="0" justifyLastLine="0" shrinkToFit="0" readingOrder="0"/>
    </dxf>
    <dxf>
      <numFmt numFmtId="165" formatCode="_(* #,##0_);_(* \(#,##0\);_(* &quot;-&quot;??_);_(@_)"/>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B2B2B2"/>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1'!$C$4:$C$5</c:f>
              <c:strCache>
                <c:ptCount val="1"/>
                <c:pt idx="0">
                  <c:v>canceled</c:v>
                </c:pt>
              </c:strCache>
            </c:strRef>
          </c:tx>
          <c:spPr>
            <a:solidFill>
              <a:schemeClr val="accent1"/>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1'!$C$6:$C$15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CE8-43E2-9A86-7637A289F3D4}"/>
            </c:ext>
          </c:extLst>
        </c:ser>
        <c:ser>
          <c:idx val="1"/>
          <c:order val="1"/>
          <c:tx>
            <c:strRef>
              <c:f>'Pivot Table 1'!$D$4:$D$5</c:f>
              <c:strCache>
                <c:ptCount val="1"/>
                <c:pt idx="0">
                  <c:v>failed</c:v>
                </c:pt>
              </c:strCache>
            </c:strRef>
          </c:tx>
          <c:spPr>
            <a:solidFill>
              <a:schemeClr val="accent2"/>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1'!$D$6:$D$15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CE8-43E2-9A86-7637A289F3D4}"/>
            </c:ext>
          </c:extLst>
        </c:ser>
        <c:ser>
          <c:idx val="2"/>
          <c:order val="2"/>
          <c:tx>
            <c:strRef>
              <c:f>'Pivot Table 1'!$E$4:$E$5</c:f>
              <c:strCache>
                <c:ptCount val="1"/>
                <c:pt idx="0">
                  <c:v>live</c:v>
                </c:pt>
              </c:strCache>
            </c:strRef>
          </c:tx>
          <c:spPr>
            <a:solidFill>
              <a:schemeClr val="accent3"/>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CE8-43E2-9A86-7637A289F3D4}"/>
            </c:ext>
          </c:extLst>
        </c:ser>
        <c:ser>
          <c:idx val="3"/>
          <c:order val="3"/>
          <c:tx>
            <c:strRef>
              <c:f>'Pivot Table 1'!$F$4:$F$5</c:f>
              <c:strCache>
                <c:ptCount val="1"/>
                <c:pt idx="0">
                  <c:v>successful</c:v>
                </c:pt>
              </c:strCache>
            </c:strRef>
          </c:tx>
          <c:spPr>
            <a:solidFill>
              <a:schemeClr val="accent4"/>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1'!$F$6:$F$15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CE8-43E2-9A86-7637A289F3D4}"/>
            </c:ext>
          </c:extLst>
        </c:ser>
        <c:dLbls>
          <c:showLegendKey val="0"/>
          <c:showVal val="0"/>
          <c:showCatName val="0"/>
          <c:showSerName val="0"/>
          <c:showPercent val="0"/>
          <c:showBubbleSize val="0"/>
        </c:dLbls>
        <c:gapWidth val="150"/>
        <c:overlap val="100"/>
        <c:axId val="535702943"/>
        <c:axId val="535695743"/>
      </c:barChart>
      <c:catAx>
        <c:axId val="53570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5743"/>
        <c:crosses val="autoZero"/>
        <c:auto val="1"/>
        <c:lblAlgn val="ctr"/>
        <c:lblOffset val="100"/>
        <c:noMultiLvlLbl val="0"/>
      </c:catAx>
      <c:valAx>
        <c:axId val="5356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2'!$C$5:$C$6</c:f>
              <c:strCache>
                <c:ptCount val="1"/>
                <c:pt idx="0">
                  <c:v>canceled</c:v>
                </c:pt>
              </c:strCache>
            </c:strRef>
          </c:tx>
          <c:spPr>
            <a:solidFill>
              <a:schemeClr val="accent1"/>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2'!$C$7:$C$31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10-47B0-A09E-16F976794C12}"/>
            </c:ext>
          </c:extLst>
        </c:ser>
        <c:ser>
          <c:idx val="1"/>
          <c:order val="1"/>
          <c:tx>
            <c:strRef>
              <c:f>'Pivot Table 2'!$D$5:$D$6</c:f>
              <c:strCache>
                <c:ptCount val="1"/>
                <c:pt idx="0">
                  <c:v>failed</c:v>
                </c:pt>
              </c:strCache>
            </c:strRef>
          </c:tx>
          <c:spPr>
            <a:solidFill>
              <a:schemeClr val="accent2"/>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2'!$D$7:$D$31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910-47B0-A09E-16F976794C12}"/>
            </c:ext>
          </c:extLst>
        </c:ser>
        <c:ser>
          <c:idx val="2"/>
          <c:order val="2"/>
          <c:tx>
            <c:strRef>
              <c:f>'Pivot Table 2'!$E$5:$E$6</c:f>
              <c:strCache>
                <c:ptCount val="1"/>
                <c:pt idx="0">
                  <c:v>live</c:v>
                </c:pt>
              </c:strCache>
            </c:strRef>
          </c:tx>
          <c:spPr>
            <a:solidFill>
              <a:schemeClr val="accent3"/>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2'!$E$7:$E$31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910-47B0-A09E-16F976794C12}"/>
            </c:ext>
          </c:extLst>
        </c:ser>
        <c:ser>
          <c:idx val="3"/>
          <c:order val="3"/>
          <c:tx>
            <c:strRef>
              <c:f>'Pivot Table 2'!$F$5:$F$6</c:f>
              <c:strCache>
                <c:ptCount val="1"/>
                <c:pt idx="0">
                  <c:v>successful</c:v>
                </c:pt>
              </c:strCache>
            </c:strRef>
          </c:tx>
          <c:spPr>
            <a:solidFill>
              <a:schemeClr val="accent4"/>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2'!$F$7:$F$31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910-47B0-A09E-16F976794C12}"/>
            </c:ext>
          </c:extLst>
        </c:ser>
        <c:dLbls>
          <c:showLegendKey val="0"/>
          <c:showVal val="0"/>
          <c:showCatName val="0"/>
          <c:showSerName val="0"/>
          <c:showPercent val="0"/>
          <c:showBubbleSize val="0"/>
        </c:dLbls>
        <c:gapWidth val="150"/>
        <c:overlap val="100"/>
        <c:axId val="846997599"/>
        <c:axId val="846998079"/>
      </c:barChart>
      <c:catAx>
        <c:axId val="8469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98079"/>
        <c:crosses val="autoZero"/>
        <c:auto val="1"/>
        <c:lblAlgn val="ctr"/>
        <c:lblOffset val="100"/>
        <c:noMultiLvlLbl val="0"/>
      </c:catAx>
      <c:valAx>
        <c:axId val="8469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3!PivotTable5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3'!$C$5:$C$6</c:f>
              <c:strCache>
                <c:ptCount val="1"/>
                <c:pt idx="0">
                  <c:v>canceled</c:v>
                </c:pt>
              </c:strCache>
            </c:strRef>
          </c:tx>
          <c:spPr>
            <a:ln w="28575" cap="rnd">
              <a:solidFill>
                <a:schemeClr val="accent1"/>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3'!$C$7:$C$19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765-47E0-913D-DE4B0F8D3591}"/>
            </c:ext>
          </c:extLst>
        </c:ser>
        <c:ser>
          <c:idx val="1"/>
          <c:order val="1"/>
          <c:tx>
            <c:strRef>
              <c:f>'Pivot Table 3'!$D$5:$D$6</c:f>
              <c:strCache>
                <c:ptCount val="1"/>
                <c:pt idx="0">
                  <c:v>failed</c:v>
                </c:pt>
              </c:strCache>
            </c:strRef>
          </c:tx>
          <c:spPr>
            <a:ln w="28575" cap="rnd">
              <a:solidFill>
                <a:schemeClr val="accent2"/>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3'!$D$7:$D$19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D765-47E0-913D-DE4B0F8D3591}"/>
            </c:ext>
          </c:extLst>
        </c:ser>
        <c:ser>
          <c:idx val="2"/>
          <c:order val="2"/>
          <c:tx>
            <c:strRef>
              <c:f>'Pivot Table 3'!$E$5:$E$6</c:f>
              <c:strCache>
                <c:ptCount val="1"/>
                <c:pt idx="0">
                  <c:v>live</c:v>
                </c:pt>
              </c:strCache>
            </c:strRef>
          </c:tx>
          <c:spPr>
            <a:ln w="28575" cap="rnd">
              <a:solidFill>
                <a:schemeClr val="accent3"/>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3'!$E$7:$E$19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D765-47E0-913D-DE4B0F8D3591}"/>
            </c:ext>
          </c:extLst>
        </c:ser>
        <c:ser>
          <c:idx val="3"/>
          <c:order val="3"/>
          <c:tx>
            <c:strRef>
              <c:f>'Pivot Table 3'!$F$5:$F$6</c:f>
              <c:strCache>
                <c:ptCount val="1"/>
                <c:pt idx="0">
                  <c:v>successful</c:v>
                </c:pt>
              </c:strCache>
            </c:strRef>
          </c:tx>
          <c:spPr>
            <a:ln w="28575" cap="rnd">
              <a:solidFill>
                <a:schemeClr val="accent4"/>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3'!$F$7:$F$19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D765-47E0-913D-DE4B0F8D3591}"/>
            </c:ext>
          </c:extLst>
        </c:ser>
        <c:dLbls>
          <c:showLegendKey val="0"/>
          <c:showVal val="0"/>
          <c:showCatName val="0"/>
          <c:showSerName val="0"/>
          <c:showPercent val="0"/>
          <c:showBubbleSize val="0"/>
        </c:dLbls>
        <c:smooth val="0"/>
        <c:axId val="847008159"/>
        <c:axId val="846986559"/>
      </c:lineChart>
      <c:catAx>
        <c:axId val="8470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86559"/>
        <c:crosses val="autoZero"/>
        <c:auto val="1"/>
        <c:lblAlgn val="ctr"/>
        <c:lblOffset val="100"/>
        <c:noMultiLvlLbl val="0"/>
      </c:catAx>
      <c:valAx>
        <c:axId val="84698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0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Analysis'!$G$2</c:f>
              <c:strCache>
                <c:ptCount val="1"/>
                <c:pt idx="0">
                  <c:v>Percentage Successful</c:v>
                </c:pt>
              </c:strCache>
            </c:strRef>
          </c:tx>
          <c:spPr>
            <a:ln w="28575" cap="rnd">
              <a:solidFill>
                <a:schemeClr val="accent1"/>
              </a:solidFill>
              <a:round/>
            </a:ln>
            <a:effectLst/>
          </c:spPr>
          <c:marker>
            <c:symbol val="none"/>
          </c:marker>
          <c:cat>
            <c:strRef>
              <c:f>'Crowdfunding Goal Analysis'!$B$3:$B$14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Analysis'!$G$3:$G$14</c:f>
              <c:numCache>
                <c:formatCode>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EB1-4B27-94B9-D53F8C95C1EE}"/>
            </c:ext>
          </c:extLst>
        </c:ser>
        <c:ser>
          <c:idx val="1"/>
          <c:order val="1"/>
          <c:tx>
            <c:strRef>
              <c:f>'Crowdfunding Goal Analysis'!$I$2</c:f>
              <c:strCache>
                <c:ptCount val="1"/>
                <c:pt idx="0">
                  <c:v>Percentage Canceled</c:v>
                </c:pt>
              </c:strCache>
            </c:strRef>
          </c:tx>
          <c:spPr>
            <a:ln w="28575" cap="rnd">
              <a:solidFill>
                <a:schemeClr val="accent2"/>
              </a:solidFill>
              <a:round/>
            </a:ln>
            <a:effectLst/>
          </c:spPr>
          <c:marker>
            <c:symbol val="none"/>
          </c:marker>
          <c:val>
            <c:numRef>
              <c:f>'Crowdfunding Goal Analysis'!$I$3:$I$14</c:f>
              <c:numCache>
                <c:formatCode>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1-5EB1-4B27-94B9-D53F8C95C1EE}"/>
            </c:ext>
          </c:extLst>
        </c:ser>
        <c:ser>
          <c:idx val="2"/>
          <c:order val="2"/>
          <c:tx>
            <c:strRef>
              <c:f>'Crowdfunding Goal Analysis'!$H$2</c:f>
              <c:strCache>
                <c:ptCount val="1"/>
                <c:pt idx="0">
                  <c:v>Percentage Failed</c:v>
                </c:pt>
              </c:strCache>
            </c:strRef>
          </c:tx>
          <c:spPr>
            <a:ln w="28575" cap="rnd">
              <a:solidFill>
                <a:schemeClr val="accent3"/>
              </a:solidFill>
              <a:round/>
            </a:ln>
            <a:effectLst/>
          </c:spPr>
          <c:marker>
            <c:symbol val="none"/>
          </c:marker>
          <c:val>
            <c:numRef>
              <c:f>'Crowdfunding Goal Analysis'!$H$3:$H$14</c:f>
              <c:numCache>
                <c:formatCode>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5EB1-4B27-94B9-D53F8C95C1EE}"/>
            </c:ext>
          </c:extLst>
        </c:ser>
        <c:dLbls>
          <c:showLegendKey val="0"/>
          <c:showVal val="0"/>
          <c:showCatName val="0"/>
          <c:showSerName val="0"/>
          <c:showPercent val="0"/>
          <c:showBubbleSize val="0"/>
        </c:dLbls>
        <c:smooth val="0"/>
        <c:axId val="1733398287"/>
        <c:axId val="1733418447"/>
      </c:lineChart>
      <c:catAx>
        <c:axId val="173339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18447"/>
        <c:crosses val="autoZero"/>
        <c:auto val="1"/>
        <c:lblAlgn val="ctr"/>
        <c:lblOffset val="100"/>
        <c:noMultiLvlLbl val="0"/>
      </c:catAx>
      <c:valAx>
        <c:axId val="17334184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39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33337</xdr:colOff>
      <xdr:row>16</xdr:row>
      <xdr:rowOff>66675</xdr:rowOff>
    </xdr:from>
    <xdr:to>
      <xdr:col>7</xdr:col>
      <xdr:colOff>138112</xdr:colOff>
      <xdr:row>30</xdr:row>
      <xdr:rowOff>9525</xdr:rowOff>
    </xdr:to>
    <xdr:graphicFrame macro="">
      <xdr:nvGraphicFramePr>
        <xdr:cNvPr id="2" name="Chart 1">
          <a:extLst>
            <a:ext uri="{FF2B5EF4-FFF2-40B4-BE49-F238E27FC236}">
              <a16:creationId xmlns:a16="http://schemas.microsoft.com/office/drawing/2014/main" id="{023EFD0C-F1D4-86CD-F79A-7D465E3E6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547687</xdr:colOff>
      <xdr:row>4</xdr:row>
      <xdr:rowOff>28575</xdr:rowOff>
    </xdr:from>
    <xdr:to>
      <xdr:col>14</xdr:col>
      <xdr:colOff>319087</xdr:colOff>
      <xdr:row>17</xdr:row>
      <xdr:rowOff>171450</xdr:rowOff>
    </xdr:to>
    <xdr:graphicFrame macro="">
      <xdr:nvGraphicFramePr>
        <xdr:cNvPr id="2" name="Chart 1">
          <a:extLst>
            <a:ext uri="{FF2B5EF4-FFF2-40B4-BE49-F238E27FC236}">
              <a16:creationId xmlns:a16="http://schemas.microsoft.com/office/drawing/2014/main" id="{4F22EC91-6B15-F361-27AE-97D6C477D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14287</xdr:colOff>
      <xdr:row>6</xdr:row>
      <xdr:rowOff>47625</xdr:rowOff>
    </xdr:from>
    <xdr:to>
      <xdr:col>15</xdr:col>
      <xdr:colOff>471487</xdr:colOff>
      <xdr:row>19</xdr:row>
      <xdr:rowOff>190500</xdr:rowOff>
    </xdr:to>
    <xdr:graphicFrame macro="">
      <xdr:nvGraphicFramePr>
        <xdr:cNvPr id="2" name="Chart 1">
          <a:extLst>
            <a:ext uri="{FF2B5EF4-FFF2-40B4-BE49-F238E27FC236}">
              <a16:creationId xmlns:a16="http://schemas.microsoft.com/office/drawing/2014/main" id="{46E50F47-1096-DC0C-0D29-4CB8A03D6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19</xdr:row>
      <xdr:rowOff>133350</xdr:rowOff>
    </xdr:from>
    <xdr:to>
      <xdr:col>2</xdr:col>
      <xdr:colOff>371475</xdr:colOff>
      <xdr:row>26</xdr:row>
      <xdr:rowOff>57150</xdr:rowOff>
    </xdr:to>
    <xdr:sp macro="" textlink="">
      <xdr:nvSpPr>
        <xdr:cNvPr id="3" name="Rectangle 2">
          <a:extLst>
            <a:ext uri="{FF2B5EF4-FFF2-40B4-BE49-F238E27FC236}">
              <a16:creationId xmlns:a16="http://schemas.microsoft.com/office/drawing/2014/main" id="{35512007-9D48-BB7A-0D3C-8F6CD7157E41}"/>
            </a:ext>
          </a:extLst>
        </xdr:cNvPr>
        <xdr:cNvSpPr/>
      </xdr:nvSpPr>
      <xdr:spPr>
        <a:xfrm>
          <a:off x="276225" y="3933825"/>
          <a:ext cx="2486025" cy="1323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Jen's Comment: On the module instructions</a:t>
          </a:r>
          <a:r>
            <a:rPr lang="en-US" sz="1100" baseline="0"/>
            <a:t>, the example table and graph gets rid of the "live" category. I didn't see anything in the directions to exclude those line-items so I've kept them here.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33336</xdr:colOff>
      <xdr:row>15</xdr:row>
      <xdr:rowOff>28575</xdr:rowOff>
    </xdr:from>
    <xdr:to>
      <xdr:col>4</xdr:col>
      <xdr:colOff>1171574</xdr:colOff>
      <xdr:row>28</xdr:row>
      <xdr:rowOff>171450</xdr:rowOff>
    </xdr:to>
    <xdr:graphicFrame macro="">
      <xdr:nvGraphicFramePr>
        <xdr:cNvPr id="2" name="Chart 1">
          <a:extLst>
            <a:ext uri="{FF2B5EF4-FFF2-40B4-BE49-F238E27FC236}">
              <a16:creationId xmlns:a16="http://schemas.microsoft.com/office/drawing/2014/main" id="{8803795E-B90A-660C-A585-51259084D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16</xdr:row>
      <xdr:rowOff>95249</xdr:rowOff>
    </xdr:from>
    <xdr:to>
      <xdr:col>15</xdr:col>
      <xdr:colOff>333375</xdr:colOff>
      <xdr:row>30</xdr:row>
      <xdr:rowOff>104774</xdr:rowOff>
    </xdr:to>
    <xdr:sp macro="" textlink="">
      <xdr:nvSpPr>
        <xdr:cNvPr id="2" name="Rectangle 1">
          <a:extLst>
            <a:ext uri="{FF2B5EF4-FFF2-40B4-BE49-F238E27FC236}">
              <a16:creationId xmlns:a16="http://schemas.microsoft.com/office/drawing/2014/main" id="{9B470702-C8A0-46F4-941D-6D7FF55280B1}"/>
            </a:ext>
          </a:extLst>
        </xdr:cNvPr>
        <xdr:cNvSpPr/>
      </xdr:nvSpPr>
      <xdr:spPr>
        <a:xfrm>
          <a:off x="10153650" y="3295649"/>
          <a:ext cx="5133975" cy="2809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 The</a:t>
          </a:r>
          <a:r>
            <a:rPr lang="en-US" sz="1100" baseline="0"/>
            <a:t> Median better summarizes the data than the Mean. There are 162 successful projects over the mean of 851 and 403 projects under the mean of 851 - this implies that the mean is being driven higher by a smaller subset of the projects that have a much higher number of backers. This smaller subset doesn't represent the whole population as well as the median does which shows the true number of backers which most projects end up receiving. Similarly, with the failed projects - there is a much greater number of projects under the mean than above it. </a:t>
          </a:r>
        </a:p>
        <a:p>
          <a:pPr algn="l"/>
          <a:endParaRPr lang="en-US" sz="1100" baseline="0"/>
        </a:p>
        <a:p>
          <a:pPr algn="l"/>
          <a:r>
            <a:rPr lang="en-US" sz="1100" baseline="0"/>
            <a:t>2. There is more variablitiy among the successful campaigns which makes sense because depending on the total number of funds needed, the project may need a few backers or many backers. These successful campaigns recieved enough backers to get those varied funds needed. A failed campaign has a lower mean and median of backers because they failed to achieve the number of backers the successful campaigns were able to get. This also leads to less variablility in the failed campaigns with less of a gap between the least amount of backers recieved and the most backers received.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Foster" refreshedDate="45564.552559027776" createdVersion="8" refreshedVersion="8" minRefreshableVersion="3" recordCount="1000" xr:uid="{388B50A9-1758-4191-A7F8-F6F8399A311A}">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5">
      <sharedItems containsSemiMixedTypes="0" containsString="0" containsNumber="1" containsInteger="1" minValue="100" maxValue="199200"/>
    </cacheField>
    <cacheField name="pledged" numFmtId="165">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3">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Foster" refreshedDate="45564.563858217596" backgroundQuery="1" createdVersion="8" refreshedVersion="8" minRefreshableVersion="3" recordCount="0" supportSubquery="1" supportAdvancedDrill="1" xr:uid="{D5B66602-1D76-498D-BDFD-8DEA5D57F70E}">
  <cacheSource type="external" connectionId="1"/>
  <cacheFields count="5">
    <cacheField name="[Table1].[outcome].[outcome]" caption="outcome" numFmtId="0" hierarchy="6" level="1">
      <sharedItems count="4">
        <s v="canceled"/>
        <s v="failed"/>
        <s v="live"/>
        <s v="successful"/>
      </sharedItems>
    </cacheField>
    <cacheField name="[Table1].[Date Created Converstion (Year)].[Date Created Converstion (Year)]" caption="Date Created Converstion (Year)" numFmtId="0" hierarchy="20" level="1">
      <sharedItems containsSemiMixedTypes="0" containsNonDate="0" containsString="0"/>
    </cacheField>
    <cacheField name="[Measures].[Count of outcome]" caption="Count of outcome" numFmtId="0" hierarchy="26" level="32767"/>
    <cacheField name="[Table1].[Parent Category].[Parent Category]" caption="Parent Category" numFmtId="0" hierarchy="18" level="1">
      <sharedItems containsSemiMixedTypes="0" containsNonDate="0" containsString="0"/>
    </cacheField>
    <cacheField name="[Table1].[Date Created Converstion (Month)].[Date Created Converstion (Month)]" caption="Date Created Converstion (Month)" numFmtId="0" hierarchy="22" level="1">
      <sharedItems count="12">
        <s v="Jan"/>
        <s v="Feb"/>
        <s v="Mar"/>
        <s v="Apr"/>
        <s v="May"/>
        <s v="Jun"/>
        <s v="Jul"/>
        <s v="Aug"/>
        <s v="Sep"/>
        <s v="Oct"/>
        <s v="Nov"/>
        <s v="Dec"/>
      </sharedItems>
    </cacheField>
  </cacheFields>
  <cacheHierarchies count="27">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lurb]" caption="blurb" attribute="1" defaultMemberUniqueName="[Table1].[blurb].[All]" allUniqueName="[Table1].[blurb].[All]" dimensionUniqueName="[Table1]" displayFolder="" count="0" memberValueDatatype="130" unbalanced="0"/>
    <cacheHierarchy uniqueName="[Table1].[goal]" caption="goal" attribute="1" defaultMemberUniqueName="[Table1].[goal].[All]" allUniqueName="[Table1].[goal].[All]" dimensionUniqueName="[Table1]" displayFolder="" count="0" memberValueDatatype="20" unbalanced="0"/>
    <cacheHierarchy uniqueName="[Table1].[pledged]" caption="pledged" attribute="1" defaultMemberUniqueName="[Table1].[pledged].[All]" allUniqueName="[Table1].[pledged].[All]" dimensionUniqueName="[Table1]" displayFolder="" count="0" memberValueDatatype="20" unbalanced="0"/>
    <cacheHierarchy uniqueName="[Table1].[Percent Funded]" caption="Percent Funded" attribute="1" defaultMemberUniqueName="[Table1].[Percent Funded].[All]" allUniqueName="[Table1].[Percent Funded].[All]" dimensionUniqueName="[Table1]" displayFolder="" count="0" memberValueDatatype="5" unbalanced="0"/>
    <cacheHierarchy uniqueName="[Table1].[outcome]" caption="outcome" attribute="1" defaultMemberUniqueName="[Table1].[outcome].[All]" allUniqueName="[Table1].[outcome].[All]" dimensionUniqueName="[Table1]" displayFolder="" count="2" memberValueDatatype="130" unbalanced="0">
      <fieldsUsage count="2">
        <fieldUsage x="-1"/>
        <fieldUsage x="0"/>
      </fieldsUsage>
    </cacheHierarchy>
    <cacheHierarchy uniqueName="[Table1].[backers_count]" caption="backers_count" attribute="1" defaultMemberUniqueName="[Table1].[backers_count].[All]" allUniqueName="[Table1].[backers_count].[All]" dimensionUniqueName="[Table1]" displayFolder="" count="0" memberValueDatatype="20" unbalanced="0"/>
    <cacheHierarchy uniqueName="[Table1].[Average Donation]" caption="Average Donation" attribute="1" defaultMemberUniqueName="[Table1].[Average Donation].[All]" allUniqueName="[Table1].[Average Donat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urrency]" caption="currency" attribute="1" defaultMemberUniqueName="[Table1].[currency].[All]" allUniqueName="[Table1].[currency].[All]" dimensionUniqueName="[Table1]" displayFolder="" count="0" memberValueDatatype="130" unbalanced="0"/>
    <cacheHierarchy uniqueName="[Table1].[launched_at]" caption="launched_at" attribute="1" defaultMemberUniqueName="[Table1].[launched_at].[All]" allUniqueName="[Table1].[launched_at].[All]" dimensionUniqueName="[Table1]" displayFolder="" count="0" memberValueDatatype="20" unbalanced="0"/>
    <cacheHierarchy uniqueName="[Table1].[deadline]" caption="deadline" attribute="1" defaultMemberUniqueName="[Table1].[deadline].[All]" allUniqueName="[Table1].[deadline].[All]" dimensionUniqueName="[Table1]" displayFolder="" count="0" memberValueDatatype="20" unbalanced="0"/>
    <cacheHierarchy uniqueName="[Table1].[Date Created Converstion]" caption="Date Created Converstion" attribute="1" time="1" defaultMemberUniqueName="[Table1].[Date Created Converstion].[All]" allUniqueName="[Table1].[Date Created Converstion].[All]" dimensionUniqueName="[Table1]" displayFolder="" count="2" memberValueDatatype="7" unbalanced="0"/>
    <cacheHierarchy uniqueName="[Table1].[Date Ended Conversion]" caption="Date Ended Conversion" attribute="1" time="1" defaultMemberUniqueName="[Table1].[Date Ended Conversion].[All]" allUniqueName="[Table1].[Date Ended Conversion].[All]" dimensionUniqueName="[Table1]" displayFolder="" count="0" memberValueDatatype="7" unbalanced="0"/>
    <cacheHierarchy uniqueName="[Table1].[staff_pick]" caption="staff_pick" attribute="1" defaultMemberUniqueName="[Table1].[staff_pick].[All]" allUniqueName="[Table1].[staff_pick].[All]" dimensionUniqueName="[Table1]" displayFolder="" count="0" memberValueDatatype="11" unbalanced="0"/>
    <cacheHierarchy uniqueName="[Table1].[spotlight]" caption="spotlight" attribute="1" defaultMemberUniqueName="[Table1].[spotlight].[All]" allUniqueName="[Table1].[spotlight].[All]" dimensionUniqueName="[Table1]" displayFolder="" count="0" memberValueDatatype="11" unbalanced="0"/>
    <cacheHierarchy uniqueName="[Table1].[category &amp; sub-category]" caption="category &amp; sub-category" attribute="1" defaultMemberUniqueName="[Table1].[category &amp; sub-category].[All]" allUniqueName="[Table1].[category &amp; sub-category].[All]" dimensionUniqueName="[Table1]" displayFolder="" count="0" memberValueDatatype="130" unbalanced="0"/>
    <cacheHierarchy uniqueName="[Table1].[Parent Category]" caption="Parent Category" attribute="1" defaultMemberUniqueName="[Table1].[Parent Category].[All]" allUniqueName="[Table1].[Parent Category].[All]" dimensionUniqueName="[Table1]" displayFolder="" count="2" memberValueDatatype="130" unbalanced="0">
      <fieldsUsage count="2">
        <fieldUsage x="-1"/>
        <fieldUsage x="3"/>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Date Created Converstion (Year)]" caption="Date Created Converstion (Year)" attribute="1" defaultMemberUniqueName="[Table1].[Date Created Converstion (Year)].[All]" allUniqueName="[Table1].[Date Created Converstion (Year)].[All]" dimensionUniqueName="[Table1]" displayFolder="" count="2" memberValueDatatype="130" unbalanced="0">
      <fieldsUsage count="2">
        <fieldUsage x="-1"/>
        <fieldUsage x="1"/>
      </fieldsUsage>
    </cacheHierarchy>
    <cacheHierarchy uniqueName="[Table1].[Date Created Converstion (Quarter)]" caption="Date Created Converstion (Quarter)" attribute="1" defaultMemberUniqueName="[Table1].[Date Created Converstion (Quarter)].[All]" allUniqueName="[Table1].[Date Created Converstion (Quarter)].[All]" dimensionUniqueName="[Table1]" displayFolder="" count="2" memberValueDatatype="130" unbalanced="0"/>
    <cacheHierarchy uniqueName="[Table1].[Date Created Converstion (Month)]" caption="Date Created Converstion (Month)" attribute="1" defaultMemberUniqueName="[Table1].[Date Created Converstion (Month)].[All]" allUniqueName="[Table1].[Date Created Converstion (Month)].[All]" dimensionUniqueName="[Table1]" displayFolder="" count="2" memberValueDatatype="130" unbalanced="0">
      <fieldsUsage count="2">
        <fieldUsage x="-1"/>
        <fieldUsage x="4"/>
      </fieldsUsage>
    </cacheHierarchy>
    <cacheHierarchy uniqueName="[Table1].[Date Created Converstion (Month Index)]" caption="Date Created Converstion (Month Index)" attribute="1" defaultMemberUniqueName="[Table1].[Date Created Converstion (Month Index)].[All]" allUniqueName="[Table1].[Date Created Converst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utcome]" caption="Count of outcom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NA"/>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s v="NA"/>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113D5-687E-4413-ACCB-CF7638B60F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15" firstHeaderRow="1" firstDataRow="2" firstDataCol="1" rowPageCount="1" colPageCount="1"/>
  <pivotFields count="18">
    <pivotField showAll="0"/>
    <pivotField dataField="1" showAll="0"/>
    <pivotField showAll="0"/>
    <pivotField numFmtId="165" showAll="0"/>
    <pivotField numFmtId="165" showAll="0"/>
    <pivotField numFmtId="10"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6613F-29FC-4673-AD65-D8742FDE45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G31" firstHeaderRow="1" firstDataRow="2" firstDataCol="1" rowPageCount="2" colPageCount="1"/>
  <pivotFields count="18">
    <pivotField showAll="0"/>
    <pivotField dataField="1" showAll="0"/>
    <pivotField showAll="0"/>
    <pivotField numFmtId="165" showAll="0"/>
    <pivotField numFmtId="165" showAll="0"/>
    <pivotField numFmtId="10"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DD58E-231B-4CDF-8628-77AE1B319BC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G19"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3" hier="18" name="[Table1].[Parent Category].[All]" cap="All"/>
    <pageField fld="1" hier="20" name="[Table1].[Date Created Converstion (Year)].[All]" cap="All"/>
  </pageFields>
  <dataFields count="1">
    <dataField name="Count of outcome" fld="2"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Book_Jennifer Foster.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1BD12-B73F-44F9-80F1-B64B4E4B8827}" name="Table1" displayName="Table1" ref="B2:V1002" totalsRowShown="0" headerRowDxfId="23">
  <autoFilter ref="B2:V1002" xr:uid="{79F1BD12-B73F-44F9-80F1-B64B4E4B8827}"/>
  <tableColumns count="21">
    <tableColumn id="1" xr3:uid="{23FDEC1B-3DBB-495C-9649-D30E910C8DB7}" name="id"/>
    <tableColumn id="2" xr3:uid="{259F98C3-E736-4C3B-A47A-2FED512F29BE}" name="name"/>
    <tableColumn id="3" xr3:uid="{B6FA9C36-D4A3-4FE8-A7D4-3FAC50ABC475}" name="blurb" dataDxfId="22"/>
    <tableColumn id="4" xr3:uid="{3E0A0D08-DCA5-4FB1-AE38-FD7B2983BAC8}" name="goal" dataDxfId="21" dataCellStyle="Comma"/>
    <tableColumn id="5" xr3:uid="{6E5B49B1-7A83-4EFD-B087-7F73197302E9}" name="pledged" dataDxfId="10" dataCellStyle="Comma"/>
    <tableColumn id="22" xr3:uid="{25A17E49-9AA4-418E-939D-A41C7D18169B}" name="Percent Funded" dataDxfId="8" dataCellStyle="Comma">
      <calculatedColumnFormula>ROUND(Table1[[#This Row],[pledged]]/Table1[[#This Row],[goal]]*100,2)</calculatedColumnFormula>
    </tableColumn>
    <tableColumn id="15" xr3:uid="{D830A09F-D0D2-4163-8A53-E52AD2D753E1}" name="Percent Funded2" dataDxfId="9" dataCellStyle="Percent">
      <calculatedColumnFormula>+Table1[[#This Row],[pledged]]/Table1[[#This Row],[goal]]</calculatedColumnFormula>
    </tableColumn>
    <tableColumn id="6" xr3:uid="{42DF55D3-72DE-4EE7-A96B-F75ED5967926}" name="outcome"/>
    <tableColumn id="7" xr3:uid="{670AC8C4-B1E2-4469-AC4C-EC241CC8BFBE}" name="backers_count"/>
    <tableColumn id="16" xr3:uid="{C73DC9E9-3A3E-4D24-949E-40BFAEE0D685}" name="Average Donation" dataDxfId="20" dataCellStyle="Comma">
      <calculatedColumnFormula>IFERROR(Table1[[#This Row],[pledged]]/Table1[[#This Row],[backers_count]],"NA")</calculatedColumnFormula>
    </tableColumn>
    <tableColumn id="8" xr3:uid="{ADBF6515-7344-44FE-B90E-AAE45237E90A}" name="country"/>
    <tableColumn id="9" xr3:uid="{98BA97D9-404D-4663-A106-143D591DB0BB}" name="currency"/>
    <tableColumn id="10" xr3:uid="{54FA9EFB-4751-419D-ABD7-982D93B0EC06}" name="launched_at"/>
    <tableColumn id="11" xr3:uid="{E359D13A-6514-447A-A387-FBB73BE3A109}" name="deadline"/>
    <tableColumn id="20" xr3:uid="{BDB107D8-3728-455E-9E73-2A1D90F26331}" name="Date Created Converstion" dataDxfId="19">
      <calculatedColumnFormula>+(((Table1[[#This Row],[launched_at]]/60)/60)/24)+DATE(1970,1,1)</calculatedColumnFormula>
    </tableColumn>
    <tableColumn id="19" xr3:uid="{C13D1CD0-E621-4DB5-801E-FF5F138A7439}" name="Date Ended Conversion" dataDxfId="18">
      <calculatedColumnFormula>+(((Table1[[#This Row],[deadline]]/60)/60)/24)+DATE(1970,1,1)</calculatedColumnFormula>
    </tableColumn>
    <tableColumn id="12" xr3:uid="{55233741-514C-42E6-8BE1-B016B5AE2339}" name="staff_pick"/>
    <tableColumn id="13" xr3:uid="{47FD6091-7F34-4738-A5CE-5EA8CA2E96D8}" name="spotlight"/>
    <tableColumn id="14" xr3:uid="{C102E96A-FBBB-4194-A247-052560BEA846}" name="category &amp; sub-category"/>
    <tableColumn id="17" xr3:uid="{7F7360A0-24F9-402D-89C5-97FC67A10AB5}" name="Parent Category " dataDxfId="17">
      <calculatedColumnFormula>+LEFT(Table1[[#This Row],[category &amp; sub-category]],FIND("/",Table1[[#This Row],[category &amp; sub-category]])-1)</calculatedColumnFormula>
    </tableColumn>
    <tableColumn id="18" xr3:uid="{01FED006-185D-4D37-A882-2FE4ABDC128D}" name="Sub-category " dataDxfId="16">
      <calculatedColumnFormula>+RIGHT(Table1[[#This Row],[category &amp; sub-category]],LEN(Table1[[#This Row],[category &amp; sub-category]])-SEARCH("/",Table1[[#This Row],[category &amp; sub-category]]))</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EB8CAB-2B46-4C57-B52E-4C42D34AE9CA}" name="Table3" displayName="Table3" ref="B2:I14" totalsRowShown="0" dataDxfId="15" dataCellStyle="Percent">
  <autoFilter ref="B2:I14" xr:uid="{36EB8CAB-2B46-4C57-B52E-4C42D34AE9CA}"/>
  <tableColumns count="8">
    <tableColumn id="1" xr3:uid="{DDDC3242-6A32-486F-9A0B-136B1378157B}" name="Goal" dataDxfId="14"/>
    <tableColumn id="2" xr3:uid="{B2CCF99A-B133-470F-B3EB-23298034F7CB}" name="Number Successful"/>
    <tableColumn id="3" xr3:uid="{B8DE934E-7CA8-44CA-98B9-0D8DDDDCE413}" name="Number Failed"/>
    <tableColumn id="4" xr3:uid="{328E73E0-F4FF-4050-946D-EFAB98615AA6}" name="Number Canceled"/>
    <tableColumn id="5" xr3:uid="{CCB142F8-3DFC-4C9C-9933-CCEB02031C42}" name="Total Projects">
      <calculatedColumnFormula>+SUM(C3:E3)</calculatedColumnFormula>
    </tableColumn>
    <tableColumn id="6" xr3:uid="{75072A9D-FDDE-4274-BBD1-F2E4FF0769B9}" name="Percentage Successful" dataDxfId="13" dataCellStyle="Percent">
      <calculatedColumnFormula>+C3/F3</calculatedColumnFormula>
    </tableColumn>
    <tableColumn id="7" xr3:uid="{AEBC5C1B-6718-4F82-8AE8-9E93377A1B52}" name="Percentage Failed" dataDxfId="12" dataCellStyle="Percent">
      <calculatedColumnFormula>+D3/F3</calculatedColumnFormula>
    </tableColumn>
    <tableColumn id="8" xr3:uid="{BB641F2F-74ED-4EB3-98E8-85866F27AACA}" name="Percentage Canceled" dataDxfId="11" dataCellStyle="Percent">
      <calculatedColumnFormula>+E3/F3</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0E1226-E82D-439F-B2EF-0B087C286928}" name="Table4" displayName="Table4" ref="B11:D576" totalsRowShown="0">
  <autoFilter ref="B11:D576" xr:uid="{1C0E1226-E82D-439F-B2EF-0B087C286928}"/>
  <sortState xmlns:xlrd2="http://schemas.microsoft.com/office/spreadsheetml/2017/richdata2" ref="B12:D576">
    <sortCondition descending="1" ref="D11:D576"/>
  </sortState>
  <tableColumns count="3">
    <tableColumn id="1" xr3:uid="{D06414F3-6DF8-42D7-84B3-EDB1A65F3951}" name="Campaign Name"/>
    <tableColumn id="2" xr3:uid="{26B5CFBE-C679-478F-B5BD-627EA8722116}" name="Outcome"/>
    <tableColumn id="3" xr3:uid="{29345D8B-78DF-44CA-9C42-22E3494DA4F5}" name="Backers_cou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A930B8-5B7A-414F-B8E0-267FDCA73D0A}" name="Table5" displayName="Table5" ref="F11:H375" totalsRowShown="0">
  <autoFilter ref="F11:H375" xr:uid="{0AA930B8-5B7A-414F-B8E0-267FDCA73D0A}"/>
  <tableColumns count="3">
    <tableColumn id="1" xr3:uid="{A7C74C42-F091-4A1E-9D4A-FD9F04C6B53A}" name="Campaign Name"/>
    <tableColumn id="2" xr3:uid="{8187CB9E-E301-4510-87E6-112DA165A134}" name="Outcome"/>
    <tableColumn id="3" xr3:uid="{7AD3E630-7D6D-42AD-8EAE-7A5FC578475D}" name="Backers_count"/>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1002"/>
  <sheetViews>
    <sheetView showGridLines="0" tabSelected="1" workbookViewId="0"/>
  </sheetViews>
  <sheetFormatPr defaultColWidth="11" defaultRowHeight="15.75" customHeight="1" x14ac:dyDescent="0.25"/>
  <cols>
    <col min="1" max="1" width="4" customWidth="1"/>
    <col min="2" max="2" width="6.5" bestFit="1" customWidth="1"/>
    <col min="3" max="3" width="30.375" bestFit="1" customWidth="1"/>
    <col min="4" max="4" width="33.625" style="3" bestFit="1" customWidth="1"/>
    <col min="5" max="5" width="11.125" bestFit="1" customWidth="1"/>
    <col min="6" max="6" width="11.875" bestFit="1" customWidth="1"/>
    <col min="7" max="7" width="18.5" bestFit="1" customWidth="1"/>
    <col min="8" max="8" width="12.5" bestFit="1" customWidth="1"/>
    <col min="9" max="9" width="17.5" bestFit="1" customWidth="1"/>
    <col min="10" max="10" width="11.625" bestFit="1" customWidth="1"/>
    <col min="11" max="11" width="11.625" customWidth="1"/>
    <col min="12" max="12" width="12.375" bestFit="1" customWidth="1"/>
    <col min="13" max="13" width="15.5" bestFit="1" customWidth="1"/>
    <col min="14" max="14" width="12.25" bestFit="1" customWidth="1"/>
    <col min="15" max="15" width="13.125" bestFit="1" customWidth="1"/>
    <col min="16" max="16" width="27.125" bestFit="1" customWidth="1"/>
    <col min="17" max="17" width="25" bestFit="1" customWidth="1"/>
    <col min="18" max="18" width="12.5" bestFit="1" customWidth="1"/>
    <col min="19" max="20" width="27.625" bestFit="1" customWidth="1"/>
    <col min="21" max="21" width="19.375" bestFit="1" customWidth="1"/>
    <col min="22" max="22" width="16.75" bestFit="1" customWidth="1"/>
  </cols>
  <sheetData>
    <row r="1" spans="2:22" x14ac:dyDescent="0.25">
      <c r="G1" s="13" t="s">
        <v>2127</v>
      </c>
    </row>
    <row r="2" spans="2:22" s="1" customFormat="1" x14ac:dyDescent="0.25">
      <c r="B2" s="1" t="s">
        <v>2027</v>
      </c>
      <c r="C2" s="1" t="s">
        <v>0</v>
      </c>
      <c r="D2" s="2" t="s">
        <v>1</v>
      </c>
      <c r="E2" s="1" t="s">
        <v>2</v>
      </c>
      <c r="F2" s="1" t="s">
        <v>3</v>
      </c>
      <c r="G2" s="1" t="s">
        <v>2029</v>
      </c>
      <c r="H2" s="7" t="s">
        <v>2126</v>
      </c>
      <c r="I2" s="7" t="s">
        <v>4</v>
      </c>
      <c r="J2" s="1" t="s">
        <v>5</v>
      </c>
      <c r="K2" s="7" t="s">
        <v>2030</v>
      </c>
      <c r="L2" s="1" t="s">
        <v>6</v>
      </c>
      <c r="M2" s="1" t="s">
        <v>7</v>
      </c>
      <c r="N2" s="1" t="s">
        <v>8</v>
      </c>
      <c r="O2" s="1" t="s">
        <v>9</v>
      </c>
      <c r="P2" s="7" t="s">
        <v>2072</v>
      </c>
      <c r="Q2" s="7" t="s">
        <v>2073</v>
      </c>
      <c r="R2" s="1" t="s">
        <v>10</v>
      </c>
      <c r="S2" s="1" t="s">
        <v>11</v>
      </c>
      <c r="T2" s="1" t="s">
        <v>2028</v>
      </c>
      <c r="U2" s="7" t="s">
        <v>2031</v>
      </c>
      <c r="V2" s="7" t="s">
        <v>2032</v>
      </c>
    </row>
    <row r="3" spans="2:22" ht="15.75" customHeight="1" x14ac:dyDescent="0.25">
      <c r="B3">
        <v>0</v>
      </c>
      <c r="C3" t="s">
        <v>12</v>
      </c>
      <c r="D3" s="3" t="s">
        <v>13</v>
      </c>
      <c r="E3" s="6">
        <v>100</v>
      </c>
      <c r="F3" s="6">
        <v>0</v>
      </c>
      <c r="G3" s="17">
        <f>ROUND(Table1[[#This Row],[pledged]]/Table1[[#This Row],[goal]]*100,2)</f>
        <v>0</v>
      </c>
      <c r="H3" s="5">
        <f>+Table1[[#This Row],[pledged]]/Table1[[#This Row],[goal]]</f>
        <v>0</v>
      </c>
      <c r="I3" t="s">
        <v>14</v>
      </c>
      <c r="J3">
        <v>0</v>
      </c>
      <c r="K3" s="8" t="str">
        <f>IFERROR(Table1[[#This Row],[pledged]]/Table1[[#This Row],[backers_count]],"NA")</f>
        <v>NA</v>
      </c>
      <c r="L3" t="s">
        <v>15</v>
      </c>
      <c r="M3" t="s">
        <v>16</v>
      </c>
      <c r="N3">
        <v>1448690400</v>
      </c>
      <c r="O3">
        <v>1450159200</v>
      </c>
      <c r="P3" s="11">
        <f>+(((Table1[[#This Row],[launched_at]]/60)/60)/24)+DATE(1970,1,1)</f>
        <v>42336.25</v>
      </c>
      <c r="Q3" s="11">
        <f>+(((Table1[[#This Row],[deadline]]/60)/60)/24)+DATE(1970,1,1)</f>
        <v>42353.25</v>
      </c>
      <c r="R3" t="b">
        <v>0</v>
      </c>
      <c r="S3" t="b">
        <v>0</v>
      </c>
      <c r="T3" t="s">
        <v>17</v>
      </c>
      <c r="U3" t="str">
        <f>+LEFT(Table1[[#This Row],[category &amp; sub-category]],FIND("/",Table1[[#This Row],[category &amp; sub-category]])-1)</f>
        <v>food</v>
      </c>
      <c r="V3" t="str">
        <f>+RIGHT(Table1[[#This Row],[category &amp; sub-category]],LEN(Table1[[#This Row],[category &amp; sub-category]])-SEARCH("/",Table1[[#This Row],[category &amp; sub-category]]))</f>
        <v>food trucks</v>
      </c>
    </row>
    <row r="4" spans="2:22" ht="15.75" customHeight="1" x14ac:dyDescent="0.25">
      <c r="B4">
        <v>1</v>
      </c>
      <c r="C4" t="s">
        <v>18</v>
      </c>
      <c r="D4" s="3" t="s">
        <v>19</v>
      </c>
      <c r="E4" s="6">
        <v>1400</v>
      </c>
      <c r="F4" s="6">
        <v>14560</v>
      </c>
      <c r="G4" s="17">
        <f>ROUND(Table1[[#This Row],[pledged]]/Table1[[#This Row],[goal]]*100,2)</f>
        <v>1040</v>
      </c>
      <c r="H4" s="5">
        <f>+Table1[[#This Row],[pledged]]/Table1[[#This Row],[goal]]</f>
        <v>10.4</v>
      </c>
      <c r="I4" t="s">
        <v>20</v>
      </c>
      <c r="J4">
        <v>158</v>
      </c>
      <c r="K4" s="8">
        <f>IFERROR(Table1[[#This Row],[pledged]]/Table1[[#This Row],[backers_count]],"NA")</f>
        <v>92.151898734177209</v>
      </c>
      <c r="L4" t="s">
        <v>21</v>
      </c>
      <c r="M4" t="s">
        <v>22</v>
      </c>
      <c r="N4">
        <v>1408424400</v>
      </c>
      <c r="O4">
        <v>1408597200</v>
      </c>
      <c r="P4" s="11">
        <f>+(((Table1[[#This Row],[launched_at]]/60)/60)/24)+DATE(1970,1,1)</f>
        <v>41870.208333333336</v>
      </c>
      <c r="Q4" s="11">
        <f>+(((Table1[[#This Row],[deadline]]/60)/60)/24)+DATE(1970,1,1)</f>
        <v>41872.208333333336</v>
      </c>
      <c r="R4" t="b">
        <v>0</v>
      </c>
      <c r="S4" t="b">
        <v>1</v>
      </c>
      <c r="T4" t="s">
        <v>23</v>
      </c>
      <c r="U4" t="str">
        <f>+LEFT(Table1[[#This Row],[category &amp; sub-category]],FIND("/",Table1[[#This Row],[category &amp; sub-category]])-1)</f>
        <v>music</v>
      </c>
      <c r="V4" t="str">
        <f>+RIGHT(Table1[[#This Row],[category &amp; sub-category]],LEN(Table1[[#This Row],[category &amp; sub-category]])-SEARCH("/",Table1[[#This Row],[category &amp; sub-category]]))</f>
        <v>rock</v>
      </c>
    </row>
    <row r="5" spans="2:22" ht="15.75" customHeight="1" x14ac:dyDescent="0.25">
      <c r="B5">
        <v>2</v>
      </c>
      <c r="C5" t="s">
        <v>24</v>
      </c>
      <c r="D5" s="3" t="s">
        <v>25</v>
      </c>
      <c r="E5" s="6">
        <v>108400</v>
      </c>
      <c r="F5" s="6">
        <v>142523</v>
      </c>
      <c r="G5" s="17">
        <f>ROUND(Table1[[#This Row],[pledged]]/Table1[[#This Row],[goal]]*100,2)</f>
        <v>131.47999999999999</v>
      </c>
      <c r="H5" s="5">
        <f>+Table1[[#This Row],[pledged]]/Table1[[#This Row],[goal]]</f>
        <v>1.3147878228782288</v>
      </c>
      <c r="I5" t="s">
        <v>20</v>
      </c>
      <c r="J5">
        <v>1425</v>
      </c>
      <c r="K5" s="8">
        <f>IFERROR(Table1[[#This Row],[pledged]]/Table1[[#This Row],[backers_count]],"NA")</f>
        <v>100.01614035087719</v>
      </c>
      <c r="L5" t="s">
        <v>26</v>
      </c>
      <c r="M5" t="s">
        <v>27</v>
      </c>
      <c r="N5">
        <v>1384668000</v>
      </c>
      <c r="O5">
        <v>1384840800</v>
      </c>
      <c r="P5" s="11">
        <f>+(((Table1[[#This Row],[launched_at]]/60)/60)/24)+DATE(1970,1,1)</f>
        <v>41595.25</v>
      </c>
      <c r="Q5" s="11">
        <f>+(((Table1[[#This Row],[deadline]]/60)/60)/24)+DATE(1970,1,1)</f>
        <v>41597.25</v>
      </c>
      <c r="R5" t="b">
        <v>0</v>
      </c>
      <c r="S5" t="b">
        <v>0</v>
      </c>
      <c r="T5" t="s">
        <v>28</v>
      </c>
      <c r="U5" t="str">
        <f>+LEFT(Table1[[#This Row],[category &amp; sub-category]],FIND("/",Table1[[#This Row],[category &amp; sub-category]])-1)</f>
        <v>technology</v>
      </c>
      <c r="V5" t="str">
        <f>+RIGHT(Table1[[#This Row],[category &amp; sub-category]],LEN(Table1[[#This Row],[category &amp; sub-category]])-SEARCH("/",Table1[[#This Row],[category &amp; sub-category]]))</f>
        <v>web</v>
      </c>
    </row>
    <row r="6" spans="2:22" ht="15.75" customHeight="1" x14ac:dyDescent="0.25">
      <c r="B6">
        <v>3</v>
      </c>
      <c r="C6" t="s">
        <v>29</v>
      </c>
      <c r="D6" s="3" t="s">
        <v>30</v>
      </c>
      <c r="E6" s="6">
        <v>4200</v>
      </c>
      <c r="F6" s="6">
        <v>2477</v>
      </c>
      <c r="G6" s="17">
        <f>ROUND(Table1[[#This Row],[pledged]]/Table1[[#This Row],[goal]]*100,2)</f>
        <v>58.98</v>
      </c>
      <c r="H6" s="5">
        <f>+Table1[[#This Row],[pledged]]/Table1[[#This Row],[goal]]</f>
        <v>0.58976190476190471</v>
      </c>
      <c r="I6" t="s">
        <v>14</v>
      </c>
      <c r="J6">
        <v>24</v>
      </c>
      <c r="K6" s="8">
        <f>IFERROR(Table1[[#This Row],[pledged]]/Table1[[#This Row],[backers_count]],"NA")</f>
        <v>103.20833333333333</v>
      </c>
      <c r="L6" t="s">
        <v>21</v>
      </c>
      <c r="M6" t="s">
        <v>22</v>
      </c>
      <c r="N6">
        <v>1565499600</v>
      </c>
      <c r="O6">
        <v>1568955600</v>
      </c>
      <c r="P6" s="11">
        <f>+(((Table1[[#This Row],[launched_at]]/60)/60)/24)+DATE(1970,1,1)</f>
        <v>43688.208333333328</v>
      </c>
      <c r="Q6" s="11">
        <f>+(((Table1[[#This Row],[deadline]]/60)/60)/24)+DATE(1970,1,1)</f>
        <v>43728.208333333328</v>
      </c>
      <c r="R6" t="b">
        <v>0</v>
      </c>
      <c r="S6" t="b">
        <v>0</v>
      </c>
      <c r="T6" t="s">
        <v>23</v>
      </c>
      <c r="U6" t="str">
        <f>+LEFT(Table1[[#This Row],[category &amp; sub-category]],FIND("/",Table1[[#This Row],[category &amp; sub-category]])-1)</f>
        <v>music</v>
      </c>
      <c r="V6" t="str">
        <f>+RIGHT(Table1[[#This Row],[category &amp; sub-category]],LEN(Table1[[#This Row],[category &amp; sub-category]])-SEARCH("/",Table1[[#This Row],[category &amp; sub-category]]))</f>
        <v>rock</v>
      </c>
    </row>
    <row r="7" spans="2:22" ht="15.75" customHeight="1" x14ac:dyDescent="0.25">
      <c r="B7">
        <v>4</v>
      </c>
      <c r="C7" t="s">
        <v>31</v>
      </c>
      <c r="D7" s="3" t="s">
        <v>32</v>
      </c>
      <c r="E7" s="6">
        <v>7600</v>
      </c>
      <c r="F7" s="6">
        <v>5265</v>
      </c>
      <c r="G7" s="17">
        <f>ROUND(Table1[[#This Row],[pledged]]/Table1[[#This Row],[goal]]*100,2)</f>
        <v>69.28</v>
      </c>
      <c r="H7" s="5">
        <f>+Table1[[#This Row],[pledged]]/Table1[[#This Row],[goal]]</f>
        <v>0.69276315789473686</v>
      </c>
      <c r="I7" t="s">
        <v>14</v>
      </c>
      <c r="J7">
        <v>53</v>
      </c>
      <c r="K7" s="8">
        <f>IFERROR(Table1[[#This Row],[pledged]]/Table1[[#This Row],[backers_count]],"NA")</f>
        <v>99.339622641509436</v>
      </c>
      <c r="L7" t="s">
        <v>21</v>
      </c>
      <c r="M7" t="s">
        <v>22</v>
      </c>
      <c r="N7">
        <v>1547964000</v>
      </c>
      <c r="O7">
        <v>1548309600</v>
      </c>
      <c r="P7" s="11">
        <f>+(((Table1[[#This Row],[launched_at]]/60)/60)/24)+DATE(1970,1,1)</f>
        <v>43485.25</v>
      </c>
      <c r="Q7" s="11">
        <f>+(((Table1[[#This Row],[deadline]]/60)/60)/24)+DATE(1970,1,1)</f>
        <v>43489.25</v>
      </c>
      <c r="R7" t="b">
        <v>0</v>
      </c>
      <c r="S7" t="b">
        <v>0</v>
      </c>
      <c r="T7" t="s">
        <v>33</v>
      </c>
      <c r="U7" t="str">
        <f>+LEFT(Table1[[#This Row],[category &amp; sub-category]],FIND("/",Table1[[#This Row],[category &amp; sub-category]])-1)</f>
        <v>theater</v>
      </c>
      <c r="V7" t="str">
        <f>+RIGHT(Table1[[#This Row],[category &amp; sub-category]],LEN(Table1[[#This Row],[category &amp; sub-category]])-SEARCH("/",Table1[[#This Row],[category &amp; sub-category]]))</f>
        <v>plays</v>
      </c>
    </row>
    <row r="8" spans="2:22" ht="15.75" customHeight="1" x14ac:dyDescent="0.25">
      <c r="B8">
        <v>5</v>
      </c>
      <c r="C8" t="s">
        <v>34</v>
      </c>
      <c r="D8" s="3" t="s">
        <v>35</v>
      </c>
      <c r="E8" s="6">
        <v>7600</v>
      </c>
      <c r="F8" s="6">
        <v>13195</v>
      </c>
      <c r="G8" s="17">
        <f>ROUND(Table1[[#This Row],[pledged]]/Table1[[#This Row],[goal]]*100,2)</f>
        <v>173.62</v>
      </c>
      <c r="H8" s="5">
        <f>+Table1[[#This Row],[pledged]]/Table1[[#This Row],[goal]]</f>
        <v>1.7361842105263159</v>
      </c>
      <c r="I8" t="s">
        <v>20</v>
      </c>
      <c r="J8">
        <v>174</v>
      </c>
      <c r="K8" s="8">
        <f>IFERROR(Table1[[#This Row],[pledged]]/Table1[[#This Row],[backers_count]],"NA")</f>
        <v>75.833333333333329</v>
      </c>
      <c r="L8" t="s">
        <v>36</v>
      </c>
      <c r="M8" t="s">
        <v>37</v>
      </c>
      <c r="N8">
        <v>1346130000</v>
      </c>
      <c r="O8">
        <v>1347080400</v>
      </c>
      <c r="P8" s="11">
        <f>+(((Table1[[#This Row],[launched_at]]/60)/60)/24)+DATE(1970,1,1)</f>
        <v>41149.208333333336</v>
      </c>
      <c r="Q8" s="11">
        <f>+(((Table1[[#This Row],[deadline]]/60)/60)/24)+DATE(1970,1,1)</f>
        <v>41160.208333333336</v>
      </c>
      <c r="R8" t="b">
        <v>0</v>
      </c>
      <c r="S8" t="b">
        <v>0</v>
      </c>
      <c r="T8" t="s">
        <v>33</v>
      </c>
      <c r="U8" t="str">
        <f>+LEFT(Table1[[#This Row],[category &amp; sub-category]],FIND("/",Table1[[#This Row],[category &amp; sub-category]])-1)</f>
        <v>theater</v>
      </c>
      <c r="V8" t="str">
        <f>+RIGHT(Table1[[#This Row],[category &amp; sub-category]],LEN(Table1[[#This Row],[category &amp; sub-category]])-SEARCH("/",Table1[[#This Row],[category &amp; sub-category]]))</f>
        <v>plays</v>
      </c>
    </row>
    <row r="9" spans="2:22" ht="15.75" customHeight="1" x14ac:dyDescent="0.25">
      <c r="B9">
        <v>6</v>
      </c>
      <c r="C9" t="s">
        <v>38</v>
      </c>
      <c r="D9" s="3" t="s">
        <v>39</v>
      </c>
      <c r="E9" s="6">
        <v>5200</v>
      </c>
      <c r="F9" s="6">
        <v>1090</v>
      </c>
      <c r="G9" s="17">
        <f>ROUND(Table1[[#This Row],[pledged]]/Table1[[#This Row],[goal]]*100,2)</f>
        <v>20.96</v>
      </c>
      <c r="H9" s="5">
        <f>+Table1[[#This Row],[pledged]]/Table1[[#This Row],[goal]]</f>
        <v>0.20961538461538462</v>
      </c>
      <c r="I9" t="s">
        <v>14</v>
      </c>
      <c r="J9">
        <v>18</v>
      </c>
      <c r="K9" s="8">
        <f>IFERROR(Table1[[#This Row],[pledged]]/Table1[[#This Row],[backers_count]],"NA")</f>
        <v>60.555555555555557</v>
      </c>
      <c r="L9" t="s">
        <v>40</v>
      </c>
      <c r="M9" t="s">
        <v>41</v>
      </c>
      <c r="N9">
        <v>1505278800</v>
      </c>
      <c r="O9">
        <v>1505365200</v>
      </c>
      <c r="P9" s="11">
        <f>+(((Table1[[#This Row],[launched_at]]/60)/60)/24)+DATE(1970,1,1)</f>
        <v>42991.208333333328</v>
      </c>
      <c r="Q9" s="11">
        <f>+(((Table1[[#This Row],[deadline]]/60)/60)/24)+DATE(1970,1,1)</f>
        <v>42992.208333333328</v>
      </c>
      <c r="R9" t="b">
        <v>0</v>
      </c>
      <c r="S9" t="b">
        <v>0</v>
      </c>
      <c r="T9" t="s">
        <v>42</v>
      </c>
      <c r="U9" t="str">
        <f>+LEFT(Table1[[#This Row],[category &amp; sub-category]],FIND("/",Table1[[#This Row],[category &amp; sub-category]])-1)</f>
        <v>film &amp; video</v>
      </c>
      <c r="V9" t="str">
        <f>+RIGHT(Table1[[#This Row],[category &amp; sub-category]],LEN(Table1[[#This Row],[category &amp; sub-category]])-SEARCH("/",Table1[[#This Row],[category &amp; sub-category]]))</f>
        <v>documentary</v>
      </c>
    </row>
    <row r="10" spans="2:22" ht="15.75" customHeight="1" x14ac:dyDescent="0.25">
      <c r="B10">
        <v>7</v>
      </c>
      <c r="C10" t="s">
        <v>43</v>
      </c>
      <c r="D10" s="3" t="s">
        <v>44</v>
      </c>
      <c r="E10" s="6">
        <v>4500</v>
      </c>
      <c r="F10" s="6">
        <v>14741</v>
      </c>
      <c r="G10" s="17">
        <f>ROUND(Table1[[#This Row],[pledged]]/Table1[[#This Row],[goal]]*100,2)</f>
        <v>327.58</v>
      </c>
      <c r="H10" s="5">
        <f>+Table1[[#This Row],[pledged]]/Table1[[#This Row],[goal]]</f>
        <v>3.2757777777777779</v>
      </c>
      <c r="I10" t="s">
        <v>20</v>
      </c>
      <c r="J10">
        <v>227</v>
      </c>
      <c r="K10" s="8">
        <f>IFERROR(Table1[[#This Row],[pledged]]/Table1[[#This Row],[backers_count]],"NA")</f>
        <v>64.93832599118943</v>
      </c>
      <c r="L10" t="s">
        <v>36</v>
      </c>
      <c r="M10" t="s">
        <v>37</v>
      </c>
      <c r="N10">
        <v>1439442000</v>
      </c>
      <c r="O10">
        <v>1439614800</v>
      </c>
      <c r="P10" s="11">
        <f>+(((Table1[[#This Row],[launched_at]]/60)/60)/24)+DATE(1970,1,1)</f>
        <v>42229.208333333328</v>
      </c>
      <c r="Q10" s="11">
        <f>+(((Table1[[#This Row],[deadline]]/60)/60)/24)+DATE(1970,1,1)</f>
        <v>42231.208333333328</v>
      </c>
      <c r="R10" t="b">
        <v>0</v>
      </c>
      <c r="S10" t="b">
        <v>0</v>
      </c>
      <c r="T10" t="s">
        <v>33</v>
      </c>
      <c r="U10" t="str">
        <f>+LEFT(Table1[[#This Row],[category &amp; sub-category]],FIND("/",Table1[[#This Row],[category &amp; sub-category]])-1)</f>
        <v>theater</v>
      </c>
      <c r="V10" t="str">
        <f>+RIGHT(Table1[[#This Row],[category &amp; sub-category]],LEN(Table1[[#This Row],[category &amp; sub-category]])-SEARCH("/",Table1[[#This Row],[category &amp; sub-category]]))</f>
        <v>plays</v>
      </c>
    </row>
    <row r="11" spans="2:22" ht="15.75" customHeight="1" x14ac:dyDescent="0.25">
      <c r="B11">
        <v>8</v>
      </c>
      <c r="C11" t="s">
        <v>45</v>
      </c>
      <c r="D11" s="3" t="s">
        <v>46</v>
      </c>
      <c r="E11" s="6">
        <v>110100</v>
      </c>
      <c r="F11" s="6">
        <v>21946</v>
      </c>
      <c r="G11" s="17">
        <f>ROUND(Table1[[#This Row],[pledged]]/Table1[[#This Row],[goal]]*100,2)</f>
        <v>19.93</v>
      </c>
      <c r="H11" s="5">
        <f>+Table1[[#This Row],[pledged]]/Table1[[#This Row],[goal]]</f>
        <v>0.19932788374205268</v>
      </c>
      <c r="I11" t="s">
        <v>47</v>
      </c>
      <c r="J11">
        <v>708</v>
      </c>
      <c r="K11" s="8">
        <f>IFERROR(Table1[[#This Row],[pledged]]/Table1[[#This Row],[backers_count]],"NA")</f>
        <v>30.997175141242938</v>
      </c>
      <c r="L11" t="s">
        <v>36</v>
      </c>
      <c r="M11" t="s">
        <v>37</v>
      </c>
      <c r="N11">
        <v>1281330000</v>
      </c>
      <c r="O11">
        <v>1281502800</v>
      </c>
      <c r="P11" s="11">
        <f>+(((Table1[[#This Row],[launched_at]]/60)/60)/24)+DATE(1970,1,1)</f>
        <v>40399.208333333336</v>
      </c>
      <c r="Q11" s="11">
        <f>+(((Table1[[#This Row],[deadline]]/60)/60)/24)+DATE(1970,1,1)</f>
        <v>40401.208333333336</v>
      </c>
      <c r="R11" t="b">
        <v>0</v>
      </c>
      <c r="S11" t="b">
        <v>0</v>
      </c>
      <c r="T11" t="s">
        <v>33</v>
      </c>
      <c r="U11" t="str">
        <f>+LEFT(Table1[[#This Row],[category &amp; sub-category]],FIND("/",Table1[[#This Row],[category &amp; sub-category]])-1)</f>
        <v>theater</v>
      </c>
      <c r="V11" t="str">
        <f>+RIGHT(Table1[[#This Row],[category &amp; sub-category]],LEN(Table1[[#This Row],[category &amp; sub-category]])-SEARCH("/",Table1[[#This Row],[category &amp; sub-category]]))</f>
        <v>plays</v>
      </c>
    </row>
    <row r="12" spans="2:22" ht="15.75" customHeight="1" x14ac:dyDescent="0.25">
      <c r="B12">
        <v>9</v>
      </c>
      <c r="C12" t="s">
        <v>48</v>
      </c>
      <c r="D12" s="3" t="s">
        <v>49</v>
      </c>
      <c r="E12" s="6">
        <v>6200</v>
      </c>
      <c r="F12" s="6">
        <v>3208</v>
      </c>
      <c r="G12" s="17">
        <f>ROUND(Table1[[#This Row],[pledged]]/Table1[[#This Row],[goal]]*100,2)</f>
        <v>51.74</v>
      </c>
      <c r="H12" s="5">
        <f>+Table1[[#This Row],[pledged]]/Table1[[#This Row],[goal]]</f>
        <v>0.51741935483870971</v>
      </c>
      <c r="I12" t="s">
        <v>14</v>
      </c>
      <c r="J12">
        <v>44</v>
      </c>
      <c r="K12" s="8">
        <f>IFERROR(Table1[[#This Row],[pledged]]/Table1[[#This Row],[backers_count]],"NA")</f>
        <v>72.909090909090907</v>
      </c>
      <c r="L12" t="s">
        <v>21</v>
      </c>
      <c r="M12" t="s">
        <v>22</v>
      </c>
      <c r="N12">
        <v>1379566800</v>
      </c>
      <c r="O12">
        <v>1383804000</v>
      </c>
      <c r="P12" s="11">
        <f>+(((Table1[[#This Row],[launched_at]]/60)/60)/24)+DATE(1970,1,1)</f>
        <v>41536.208333333336</v>
      </c>
      <c r="Q12" s="11">
        <f>+(((Table1[[#This Row],[deadline]]/60)/60)/24)+DATE(1970,1,1)</f>
        <v>41585.25</v>
      </c>
      <c r="R12" t="b">
        <v>0</v>
      </c>
      <c r="S12" t="b">
        <v>0</v>
      </c>
      <c r="T12" t="s">
        <v>50</v>
      </c>
      <c r="U12" t="str">
        <f>+LEFT(Table1[[#This Row],[category &amp; sub-category]],FIND("/",Table1[[#This Row],[category &amp; sub-category]])-1)</f>
        <v>music</v>
      </c>
      <c r="V12" t="str">
        <f>+RIGHT(Table1[[#This Row],[category &amp; sub-category]],LEN(Table1[[#This Row],[category &amp; sub-category]])-SEARCH("/",Table1[[#This Row],[category &amp; sub-category]]))</f>
        <v>electric music</v>
      </c>
    </row>
    <row r="13" spans="2:22" ht="15.75" customHeight="1" x14ac:dyDescent="0.25">
      <c r="B13">
        <v>10</v>
      </c>
      <c r="C13" t="s">
        <v>51</v>
      </c>
      <c r="D13" s="3" t="s">
        <v>52</v>
      </c>
      <c r="E13" s="6">
        <v>5200</v>
      </c>
      <c r="F13" s="6">
        <v>13838</v>
      </c>
      <c r="G13" s="17">
        <f>ROUND(Table1[[#This Row],[pledged]]/Table1[[#This Row],[goal]]*100,2)</f>
        <v>266.12</v>
      </c>
      <c r="H13" s="5">
        <f>+Table1[[#This Row],[pledged]]/Table1[[#This Row],[goal]]</f>
        <v>2.6611538461538462</v>
      </c>
      <c r="I13" t="s">
        <v>20</v>
      </c>
      <c r="J13">
        <v>220</v>
      </c>
      <c r="K13" s="8">
        <f>IFERROR(Table1[[#This Row],[pledged]]/Table1[[#This Row],[backers_count]],"NA")</f>
        <v>62.9</v>
      </c>
      <c r="L13" t="s">
        <v>21</v>
      </c>
      <c r="M13" t="s">
        <v>22</v>
      </c>
      <c r="N13">
        <v>1281762000</v>
      </c>
      <c r="O13">
        <v>1285909200</v>
      </c>
      <c r="P13" s="11">
        <f>+(((Table1[[#This Row],[launched_at]]/60)/60)/24)+DATE(1970,1,1)</f>
        <v>40404.208333333336</v>
      </c>
      <c r="Q13" s="11">
        <f>+(((Table1[[#This Row],[deadline]]/60)/60)/24)+DATE(1970,1,1)</f>
        <v>40452.208333333336</v>
      </c>
      <c r="R13" t="b">
        <v>0</v>
      </c>
      <c r="S13" t="b">
        <v>0</v>
      </c>
      <c r="T13" t="s">
        <v>53</v>
      </c>
      <c r="U13" t="str">
        <f>+LEFT(Table1[[#This Row],[category &amp; sub-category]],FIND("/",Table1[[#This Row],[category &amp; sub-category]])-1)</f>
        <v>film &amp; video</v>
      </c>
      <c r="V13" t="str">
        <f>+RIGHT(Table1[[#This Row],[category &amp; sub-category]],LEN(Table1[[#This Row],[category &amp; sub-category]])-SEARCH("/",Table1[[#This Row],[category &amp; sub-category]]))</f>
        <v>drama</v>
      </c>
    </row>
    <row r="14" spans="2:22" ht="15.75" customHeight="1" x14ac:dyDescent="0.25">
      <c r="B14">
        <v>11</v>
      </c>
      <c r="C14" t="s">
        <v>54</v>
      </c>
      <c r="D14" s="3" t="s">
        <v>55</v>
      </c>
      <c r="E14" s="6">
        <v>6300</v>
      </c>
      <c r="F14" s="6">
        <v>3030</v>
      </c>
      <c r="G14" s="17">
        <f>ROUND(Table1[[#This Row],[pledged]]/Table1[[#This Row],[goal]]*100,2)</f>
        <v>48.1</v>
      </c>
      <c r="H14" s="5">
        <f>+Table1[[#This Row],[pledged]]/Table1[[#This Row],[goal]]</f>
        <v>0.48095238095238096</v>
      </c>
      <c r="I14" t="s">
        <v>14</v>
      </c>
      <c r="J14">
        <v>27</v>
      </c>
      <c r="K14" s="8">
        <f>IFERROR(Table1[[#This Row],[pledged]]/Table1[[#This Row],[backers_count]],"NA")</f>
        <v>112.22222222222223</v>
      </c>
      <c r="L14" t="s">
        <v>21</v>
      </c>
      <c r="M14" t="s">
        <v>22</v>
      </c>
      <c r="N14">
        <v>1285045200</v>
      </c>
      <c r="O14">
        <v>1285563600</v>
      </c>
      <c r="P14" s="11">
        <f>+(((Table1[[#This Row],[launched_at]]/60)/60)/24)+DATE(1970,1,1)</f>
        <v>40442.208333333336</v>
      </c>
      <c r="Q14" s="11">
        <f>+(((Table1[[#This Row],[deadline]]/60)/60)/24)+DATE(1970,1,1)</f>
        <v>40448.208333333336</v>
      </c>
      <c r="R14" t="b">
        <v>0</v>
      </c>
      <c r="S14" t="b">
        <v>1</v>
      </c>
      <c r="T14" t="s">
        <v>33</v>
      </c>
      <c r="U14" t="str">
        <f>+LEFT(Table1[[#This Row],[category &amp; sub-category]],FIND("/",Table1[[#This Row],[category &amp; sub-category]])-1)</f>
        <v>theater</v>
      </c>
      <c r="V14" t="str">
        <f>+RIGHT(Table1[[#This Row],[category &amp; sub-category]],LEN(Table1[[#This Row],[category &amp; sub-category]])-SEARCH("/",Table1[[#This Row],[category &amp; sub-category]]))</f>
        <v>plays</v>
      </c>
    </row>
    <row r="15" spans="2:22" ht="15.75" customHeight="1" x14ac:dyDescent="0.25">
      <c r="B15">
        <v>12</v>
      </c>
      <c r="C15" t="s">
        <v>56</v>
      </c>
      <c r="D15" s="3" t="s">
        <v>57</v>
      </c>
      <c r="E15" s="6">
        <v>6300</v>
      </c>
      <c r="F15" s="6">
        <v>5629</v>
      </c>
      <c r="G15" s="17">
        <f>ROUND(Table1[[#This Row],[pledged]]/Table1[[#This Row],[goal]]*100,2)</f>
        <v>89.35</v>
      </c>
      <c r="H15" s="5">
        <f>+Table1[[#This Row],[pledged]]/Table1[[#This Row],[goal]]</f>
        <v>0.89349206349206345</v>
      </c>
      <c r="I15" t="s">
        <v>14</v>
      </c>
      <c r="J15">
        <v>55</v>
      </c>
      <c r="K15" s="8">
        <f>IFERROR(Table1[[#This Row],[pledged]]/Table1[[#This Row],[backers_count]],"NA")</f>
        <v>102.34545454545454</v>
      </c>
      <c r="L15" t="s">
        <v>21</v>
      </c>
      <c r="M15" t="s">
        <v>22</v>
      </c>
      <c r="N15">
        <v>1571720400</v>
      </c>
      <c r="O15">
        <v>1572411600</v>
      </c>
      <c r="P15" s="11">
        <f>+(((Table1[[#This Row],[launched_at]]/60)/60)/24)+DATE(1970,1,1)</f>
        <v>43760.208333333328</v>
      </c>
      <c r="Q15" s="11">
        <f>+(((Table1[[#This Row],[deadline]]/60)/60)/24)+DATE(1970,1,1)</f>
        <v>43768.208333333328</v>
      </c>
      <c r="R15" t="b">
        <v>0</v>
      </c>
      <c r="S15" t="b">
        <v>0</v>
      </c>
      <c r="T15" t="s">
        <v>53</v>
      </c>
      <c r="U15" t="str">
        <f>+LEFT(Table1[[#This Row],[category &amp; sub-category]],FIND("/",Table1[[#This Row],[category &amp; sub-category]])-1)</f>
        <v>film &amp; video</v>
      </c>
      <c r="V15" t="str">
        <f>+RIGHT(Table1[[#This Row],[category &amp; sub-category]],LEN(Table1[[#This Row],[category &amp; sub-category]])-SEARCH("/",Table1[[#This Row],[category &amp; sub-category]]))</f>
        <v>drama</v>
      </c>
    </row>
    <row r="16" spans="2:22" ht="15.75" customHeight="1" x14ac:dyDescent="0.25">
      <c r="B16">
        <v>13</v>
      </c>
      <c r="C16" t="s">
        <v>58</v>
      </c>
      <c r="D16" s="3" t="s">
        <v>59</v>
      </c>
      <c r="E16" s="6">
        <v>4200</v>
      </c>
      <c r="F16" s="6">
        <v>10295</v>
      </c>
      <c r="G16" s="17">
        <f>ROUND(Table1[[#This Row],[pledged]]/Table1[[#This Row],[goal]]*100,2)</f>
        <v>245.12</v>
      </c>
      <c r="H16" s="5">
        <f>+Table1[[#This Row],[pledged]]/Table1[[#This Row],[goal]]</f>
        <v>2.4511904761904764</v>
      </c>
      <c r="I16" t="s">
        <v>20</v>
      </c>
      <c r="J16">
        <v>98</v>
      </c>
      <c r="K16" s="8">
        <f>IFERROR(Table1[[#This Row],[pledged]]/Table1[[#This Row],[backers_count]],"NA")</f>
        <v>105.05102040816327</v>
      </c>
      <c r="L16" t="s">
        <v>21</v>
      </c>
      <c r="M16" t="s">
        <v>22</v>
      </c>
      <c r="N16">
        <v>1465621200</v>
      </c>
      <c r="O16">
        <v>1466658000</v>
      </c>
      <c r="P16" s="11">
        <f>+(((Table1[[#This Row],[launched_at]]/60)/60)/24)+DATE(1970,1,1)</f>
        <v>42532.208333333328</v>
      </c>
      <c r="Q16" s="11">
        <f>+(((Table1[[#This Row],[deadline]]/60)/60)/24)+DATE(1970,1,1)</f>
        <v>42544.208333333328</v>
      </c>
      <c r="R16" t="b">
        <v>0</v>
      </c>
      <c r="S16" t="b">
        <v>0</v>
      </c>
      <c r="T16" t="s">
        <v>60</v>
      </c>
      <c r="U16" t="str">
        <f>+LEFT(Table1[[#This Row],[category &amp; sub-category]],FIND("/",Table1[[#This Row],[category &amp; sub-category]])-1)</f>
        <v>music</v>
      </c>
      <c r="V16" t="str">
        <f>+RIGHT(Table1[[#This Row],[category &amp; sub-category]],LEN(Table1[[#This Row],[category &amp; sub-category]])-SEARCH("/",Table1[[#This Row],[category &amp; sub-category]]))</f>
        <v>indie rock</v>
      </c>
    </row>
    <row r="17" spans="2:22" ht="15.75" customHeight="1" x14ac:dyDescent="0.25">
      <c r="B17">
        <v>14</v>
      </c>
      <c r="C17" t="s">
        <v>61</v>
      </c>
      <c r="D17" s="3" t="s">
        <v>62</v>
      </c>
      <c r="E17" s="6">
        <v>28200</v>
      </c>
      <c r="F17" s="6">
        <v>18829</v>
      </c>
      <c r="G17" s="17">
        <f>ROUND(Table1[[#This Row],[pledged]]/Table1[[#This Row],[goal]]*100,2)</f>
        <v>66.77</v>
      </c>
      <c r="H17" s="5">
        <f>+Table1[[#This Row],[pledged]]/Table1[[#This Row],[goal]]</f>
        <v>0.66769503546099296</v>
      </c>
      <c r="I17" t="s">
        <v>14</v>
      </c>
      <c r="J17">
        <v>200</v>
      </c>
      <c r="K17" s="8">
        <f>IFERROR(Table1[[#This Row],[pledged]]/Table1[[#This Row],[backers_count]],"NA")</f>
        <v>94.144999999999996</v>
      </c>
      <c r="L17" t="s">
        <v>21</v>
      </c>
      <c r="M17" t="s">
        <v>22</v>
      </c>
      <c r="N17">
        <v>1331013600</v>
      </c>
      <c r="O17">
        <v>1333342800</v>
      </c>
      <c r="P17" s="11">
        <f>+(((Table1[[#This Row],[launched_at]]/60)/60)/24)+DATE(1970,1,1)</f>
        <v>40974.25</v>
      </c>
      <c r="Q17" s="11">
        <f>+(((Table1[[#This Row],[deadline]]/60)/60)/24)+DATE(1970,1,1)</f>
        <v>41001.208333333336</v>
      </c>
      <c r="R17" t="b">
        <v>0</v>
      </c>
      <c r="S17" t="b">
        <v>0</v>
      </c>
      <c r="T17" t="s">
        <v>60</v>
      </c>
      <c r="U17" t="str">
        <f>+LEFT(Table1[[#This Row],[category &amp; sub-category]],FIND("/",Table1[[#This Row],[category &amp; sub-category]])-1)</f>
        <v>music</v>
      </c>
      <c r="V17" t="str">
        <f>+RIGHT(Table1[[#This Row],[category &amp; sub-category]],LEN(Table1[[#This Row],[category &amp; sub-category]])-SEARCH("/",Table1[[#This Row],[category &amp; sub-category]]))</f>
        <v>indie rock</v>
      </c>
    </row>
    <row r="18" spans="2:22" ht="15.75" customHeight="1" x14ac:dyDescent="0.25">
      <c r="B18">
        <v>15</v>
      </c>
      <c r="C18" t="s">
        <v>63</v>
      </c>
      <c r="D18" s="3" t="s">
        <v>64</v>
      </c>
      <c r="E18" s="6">
        <v>81200</v>
      </c>
      <c r="F18" s="6">
        <v>38414</v>
      </c>
      <c r="G18" s="17">
        <f>ROUND(Table1[[#This Row],[pledged]]/Table1[[#This Row],[goal]]*100,2)</f>
        <v>47.31</v>
      </c>
      <c r="H18" s="5">
        <f>+Table1[[#This Row],[pledged]]/Table1[[#This Row],[goal]]</f>
        <v>0.47307881773399013</v>
      </c>
      <c r="I18" t="s">
        <v>14</v>
      </c>
      <c r="J18">
        <v>452</v>
      </c>
      <c r="K18" s="8">
        <f>IFERROR(Table1[[#This Row],[pledged]]/Table1[[#This Row],[backers_count]],"NA")</f>
        <v>84.986725663716811</v>
      </c>
      <c r="L18" t="s">
        <v>21</v>
      </c>
      <c r="M18" t="s">
        <v>22</v>
      </c>
      <c r="N18">
        <v>1575957600</v>
      </c>
      <c r="O18">
        <v>1576303200</v>
      </c>
      <c r="P18" s="11">
        <f>+(((Table1[[#This Row],[launched_at]]/60)/60)/24)+DATE(1970,1,1)</f>
        <v>43809.25</v>
      </c>
      <c r="Q18" s="11">
        <f>+(((Table1[[#This Row],[deadline]]/60)/60)/24)+DATE(1970,1,1)</f>
        <v>43813.25</v>
      </c>
      <c r="R18" t="b">
        <v>0</v>
      </c>
      <c r="S18" t="b">
        <v>0</v>
      </c>
      <c r="T18" t="s">
        <v>65</v>
      </c>
      <c r="U18" t="str">
        <f>+LEFT(Table1[[#This Row],[category &amp; sub-category]],FIND("/",Table1[[#This Row],[category &amp; sub-category]])-1)</f>
        <v>technology</v>
      </c>
      <c r="V18" t="str">
        <f>+RIGHT(Table1[[#This Row],[category &amp; sub-category]],LEN(Table1[[#This Row],[category &amp; sub-category]])-SEARCH("/",Table1[[#This Row],[category &amp; sub-category]]))</f>
        <v>wearables</v>
      </c>
    </row>
    <row r="19" spans="2:22" ht="15.75" customHeight="1" x14ac:dyDescent="0.25">
      <c r="B19">
        <v>16</v>
      </c>
      <c r="C19" t="s">
        <v>66</v>
      </c>
      <c r="D19" s="3" t="s">
        <v>67</v>
      </c>
      <c r="E19" s="6">
        <v>1700</v>
      </c>
      <c r="F19" s="6">
        <v>11041</v>
      </c>
      <c r="G19" s="17">
        <f>ROUND(Table1[[#This Row],[pledged]]/Table1[[#This Row],[goal]]*100,2)</f>
        <v>649.47</v>
      </c>
      <c r="H19" s="5">
        <f>+Table1[[#This Row],[pledged]]/Table1[[#This Row],[goal]]</f>
        <v>6.4947058823529416</v>
      </c>
      <c r="I19" t="s">
        <v>20</v>
      </c>
      <c r="J19">
        <v>100</v>
      </c>
      <c r="K19" s="8">
        <f>IFERROR(Table1[[#This Row],[pledged]]/Table1[[#This Row],[backers_count]],"NA")</f>
        <v>110.41</v>
      </c>
      <c r="L19" t="s">
        <v>21</v>
      </c>
      <c r="M19" t="s">
        <v>22</v>
      </c>
      <c r="N19">
        <v>1390370400</v>
      </c>
      <c r="O19">
        <v>1392271200</v>
      </c>
      <c r="P19" s="11">
        <f>+(((Table1[[#This Row],[launched_at]]/60)/60)/24)+DATE(1970,1,1)</f>
        <v>41661.25</v>
      </c>
      <c r="Q19" s="11">
        <f>+(((Table1[[#This Row],[deadline]]/60)/60)/24)+DATE(1970,1,1)</f>
        <v>41683.25</v>
      </c>
      <c r="R19" t="b">
        <v>0</v>
      </c>
      <c r="S19" t="b">
        <v>0</v>
      </c>
      <c r="T19" t="s">
        <v>68</v>
      </c>
      <c r="U19" t="str">
        <f>+LEFT(Table1[[#This Row],[category &amp; sub-category]],FIND("/",Table1[[#This Row],[category &amp; sub-category]])-1)</f>
        <v>publishing</v>
      </c>
      <c r="V19" t="str">
        <f>+RIGHT(Table1[[#This Row],[category &amp; sub-category]],LEN(Table1[[#This Row],[category &amp; sub-category]])-SEARCH("/",Table1[[#This Row],[category &amp; sub-category]]))</f>
        <v>nonfiction</v>
      </c>
    </row>
    <row r="20" spans="2:22" ht="15.75" customHeight="1" x14ac:dyDescent="0.25">
      <c r="B20">
        <v>17</v>
      </c>
      <c r="C20" t="s">
        <v>69</v>
      </c>
      <c r="D20" s="3" t="s">
        <v>70</v>
      </c>
      <c r="E20" s="6">
        <v>84600</v>
      </c>
      <c r="F20" s="6">
        <v>134845</v>
      </c>
      <c r="G20" s="17">
        <f>ROUND(Table1[[#This Row],[pledged]]/Table1[[#This Row],[goal]]*100,2)</f>
        <v>159.38999999999999</v>
      </c>
      <c r="H20" s="5">
        <f>+Table1[[#This Row],[pledged]]/Table1[[#This Row],[goal]]</f>
        <v>1.5939125295508274</v>
      </c>
      <c r="I20" t="s">
        <v>20</v>
      </c>
      <c r="J20">
        <v>1249</v>
      </c>
      <c r="K20" s="8">
        <f>IFERROR(Table1[[#This Row],[pledged]]/Table1[[#This Row],[backers_count]],"NA")</f>
        <v>107.96236989591674</v>
      </c>
      <c r="L20" t="s">
        <v>21</v>
      </c>
      <c r="M20" t="s">
        <v>22</v>
      </c>
      <c r="N20">
        <v>1294812000</v>
      </c>
      <c r="O20">
        <v>1294898400</v>
      </c>
      <c r="P20" s="11">
        <f>+(((Table1[[#This Row],[launched_at]]/60)/60)/24)+DATE(1970,1,1)</f>
        <v>40555.25</v>
      </c>
      <c r="Q20" s="11">
        <f>+(((Table1[[#This Row],[deadline]]/60)/60)/24)+DATE(1970,1,1)</f>
        <v>40556.25</v>
      </c>
      <c r="R20" t="b">
        <v>0</v>
      </c>
      <c r="S20" t="b">
        <v>0</v>
      </c>
      <c r="T20" t="s">
        <v>71</v>
      </c>
      <c r="U20" t="str">
        <f>+LEFT(Table1[[#This Row],[category &amp; sub-category]],FIND("/",Table1[[#This Row],[category &amp; sub-category]])-1)</f>
        <v>film &amp; video</v>
      </c>
      <c r="V20" t="str">
        <f>+RIGHT(Table1[[#This Row],[category &amp; sub-category]],LEN(Table1[[#This Row],[category &amp; sub-category]])-SEARCH("/",Table1[[#This Row],[category &amp; sub-category]]))</f>
        <v>animation</v>
      </c>
    </row>
    <row r="21" spans="2:22" ht="15.75" customHeight="1" x14ac:dyDescent="0.25">
      <c r="B21">
        <v>18</v>
      </c>
      <c r="C21" t="s">
        <v>72</v>
      </c>
      <c r="D21" s="3" t="s">
        <v>73</v>
      </c>
      <c r="E21" s="6">
        <v>9100</v>
      </c>
      <c r="F21" s="6">
        <v>6089</v>
      </c>
      <c r="G21" s="17">
        <f>ROUND(Table1[[#This Row],[pledged]]/Table1[[#This Row],[goal]]*100,2)</f>
        <v>66.91</v>
      </c>
      <c r="H21" s="5">
        <f>+Table1[[#This Row],[pledged]]/Table1[[#This Row],[goal]]</f>
        <v>0.66912087912087914</v>
      </c>
      <c r="I21" t="s">
        <v>74</v>
      </c>
      <c r="J21">
        <v>135</v>
      </c>
      <c r="K21" s="8">
        <f>IFERROR(Table1[[#This Row],[pledged]]/Table1[[#This Row],[backers_count]],"NA")</f>
        <v>45.103703703703701</v>
      </c>
      <c r="L21" t="s">
        <v>21</v>
      </c>
      <c r="M21" t="s">
        <v>22</v>
      </c>
      <c r="N21">
        <v>1536382800</v>
      </c>
      <c r="O21">
        <v>1537074000</v>
      </c>
      <c r="P21" s="11">
        <f>+(((Table1[[#This Row],[launched_at]]/60)/60)/24)+DATE(1970,1,1)</f>
        <v>43351.208333333328</v>
      </c>
      <c r="Q21" s="11">
        <f>+(((Table1[[#This Row],[deadline]]/60)/60)/24)+DATE(1970,1,1)</f>
        <v>43359.208333333328</v>
      </c>
      <c r="R21" t="b">
        <v>0</v>
      </c>
      <c r="S21" t="b">
        <v>0</v>
      </c>
      <c r="T21" t="s">
        <v>33</v>
      </c>
      <c r="U21" t="str">
        <f>+LEFT(Table1[[#This Row],[category &amp; sub-category]],FIND("/",Table1[[#This Row],[category &amp; sub-category]])-1)</f>
        <v>theater</v>
      </c>
      <c r="V21" t="str">
        <f>+RIGHT(Table1[[#This Row],[category &amp; sub-category]],LEN(Table1[[#This Row],[category &amp; sub-category]])-SEARCH("/",Table1[[#This Row],[category &amp; sub-category]]))</f>
        <v>plays</v>
      </c>
    </row>
    <row r="22" spans="2:22" ht="15.75" customHeight="1" x14ac:dyDescent="0.25">
      <c r="B22">
        <v>19</v>
      </c>
      <c r="C22" t="s">
        <v>75</v>
      </c>
      <c r="D22" s="3" t="s">
        <v>76</v>
      </c>
      <c r="E22" s="6">
        <v>62500</v>
      </c>
      <c r="F22" s="6">
        <v>30331</v>
      </c>
      <c r="G22" s="17">
        <f>ROUND(Table1[[#This Row],[pledged]]/Table1[[#This Row],[goal]]*100,2)</f>
        <v>48.53</v>
      </c>
      <c r="H22" s="5">
        <f>+Table1[[#This Row],[pledged]]/Table1[[#This Row],[goal]]</f>
        <v>0.48529600000000001</v>
      </c>
      <c r="I22" t="s">
        <v>14</v>
      </c>
      <c r="J22">
        <v>674</v>
      </c>
      <c r="K22" s="8">
        <f>IFERROR(Table1[[#This Row],[pledged]]/Table1[[#This Row],[backers_count]],"NA")</f>
        <v>45.001483679525222</v>
      </c>
      <c r="L22" t="s">
        <v>21</v>
      </c>
      <c r="M22" t="s">
        <v>22</v>
      </c>
      <c r="N22">
        <v>1551679200</v>
      </c>
      <c r="O22">
        <v>1553490000</v>
      </c>
      <c r="P22" s="11">
        <f>+(((Table1[[#This Row],[launched_at]]/60)/60)/24)+DATE(1970,1,1)</f>
        <v>43528.25</v>
      </c>
      <c r="Q22" s="11">
        <f>+(((Table1[[#This Row],[deadline]]/60)/60)/24)+DATE(1970,1,1)</f>
        <v>43549.208333333328</v>
      </c>
      <c r="R22" t="b">
        <v>0</v>
      </c>
      <c r="S22" t="b">
        <v>1</v>
      </c>
      <c r="T22" t="s">
        <v>33</v>
      </c>
      <c r="U22" t="str">
        <f>+LEFT(Table1[[#This Row],[category &amp; sub-category]],FIND("/",Table1[[#This Row],[category &amp; sub-category]])-1)</f>
        <v>theater</v>
      </c>
      <c r="V22" t="str">
        <f>+RIGHT(Table1[[#This Row],[category &amp; sub-category]],LEN(Table1[[#This Row],[category &amp; sub-category]])-SEARCH("/",Table1[[#This Row],[category &amp; sub-category]]))</f>
        <v>plays</v>
      </c>
    </row>
    <row r="23" spans="2:22" ht="15.75" customHeight="1" x14ac:dyDescent="0.25">
      <c r="B23">
        <v>20</v>
      </c>
      <c r="C23" t="s">
        <v>77</v>
      </c>
      <c r="D23" s="3" t="s">
        <v>78</v>
      </c>
      <c r="E23" s="6">
        <v>131800</v>
      </c>
      <c r="F23" s="6">
        <v>147936</v>
      </c>
      <c r="G23" s="17">
        <f>ROUND(Table1[[#This Row],[pledged]]/Table1[[#This Row],[goal]]*100,2)</f>
        <v>112.24</v>
      </c>
      <c r="H23" s="5">
        <f>+Table1[[#This Row],[pledged]]/Table1[[#This Row],[goal]]</f>
        <v>1.1224279210925645</v>
      </c>
      <c r="I23" t="s">
        <v>20</v>
      </c>
      <c r="J23">
        <v>1396</v>
      </c>
      <c r="K23" s="8">
        <f>IFERROR(Table1[[#This Row],[pledged]]/Table1[[#This Row],[backers_count]],"NA")</f>
        <v>105.97134670487107</v>
      </c>
      <c r="L23" t="s">
        <v>21</v>
      </c>
      <c r="M23" t="s">
        <v>22</v>
      </c>
      <c r="N23">
        <v>1406523600</v>
      </c>
      <c r="O23">
        <v>1406523600</v>
      </c>
      <c r="P23" s="11">
        <f>+(((Table1[[#This Row],[launched_at]]/60)/60)/24)+DATE(1970,1,1)</f>
        <v>41848.208333333336</v>
      </c>
      <c r="Q23" s="11">
        <f>+(((Table1[[#This Row],[deadline]]/60)/60)/24)+DATE(1970,1,1)</f>
        <v>41848.208333333336</v>
      </c>
      <c r="R23" t="b">
        <v>0</v>
      </c>
      <c r="S23" t="b">
        <v>0</v>
      </c>
      <c r="T23" t="s">
        <v>53</v>
      </c>
      <c r="U23" t="str">
        <f>+LEFT(Table1[[#This Row],[category &amp; sub-category]],FIND("/",Table1[[#This Row],[category &amp; sub-category]])-1)</f>
        <v>film &amp; video</v>
      </c>
      <c r="V23" t="str">
        <f>+RIGHT(Table1[[#This Row],[category &amp; sub-category]],LEN(Table1[[#This Row],[category &amp; sub-category]])-SEARCH("/",Table1[[#This Row],[category &amp; sub-category]]))</f>
        <v>drama</v>
      </c>
    </row>
    <row r="24" spans="2:22" ht="15.75" customHeight="1" x14ac:dyDescent="0.25">
      <c r="B24">
        <v>21</v>
      </c>
      <c r="C24" t="s">
        <v>79</v>
      </c>
      <c r="D24" s="3" t="s">
        <v>80</v>
      </c>
      <c r="E24" s="6">
        <v>94000</v>
      </c>
      <c r="F24" s="6">
        <v>38533</v>
      </c>
      <c r="G24" s="17">
        <f>ROUND(Table1[[#This Row],[pledged]]/Table1[[#This Row],[goal]]*100,2)</f>
        <v>40.99</v>
      </c>
      <c r="H24" s="5">
        <f>+Table1[[#This Row],[pledged]]/Table1[[#This Row],[goal]]</f>
        <v>0.40992553191489361</v>
      </c>
      <c r="I24" t="s">
        <v>14</v>
      </c>
      <c r="J24">
        <v>558</v>
      </c>
      <c r="K24" s="8">
        <f>IFERROR(Table1[[#This Row],[pledged]]/Table1[[#This Row],[backers_count]],"NA")</f>
        <v>69.055555555555557</v>
      </c>
      <c r="L24" t="s">
        <v>21</v>
      </c>
      <c r="M24" t="s">
        <v>22</v>
      </c>
      <c r="N24">
        <v>1313384400</v>
      </c>
      <c r="O24">
        <v>1316322000</v>
      </c>
      <c r="P24" s="11">
        <f>+(((Table1[[#This Row],[launched_at]]/60)/60)/24)+DATE(1970,1,1)</f>
        <v>40770.208333333336</v>
      </c>
      <c r="Q24" s="11">
        <f>+(((Table1[[#This Row],[deadline]]/60)/60)/24)+DATE(1970,1,1)</f>
        <v>40804.208333333336</v>
      </c>
      <c r="R24" t="b">
        <v>0</v>
      </c>
      <c r="S24" t="b">
        <v>0</v>
      </c>
      <c r="T24" t="s">
        <v>33</v>
      </c>
      <c r="U24" t="str">
        <f>+LEFT(Table1[[#This Row],[category &amp; sub-category]],FIND("/",Table1[[#This Row],[category &amp; sub-category]])-1)</f>
        <v>theater</v>
      </c>
      <c r="V24" t="str">
        <f>+RIGHT(Table1[[#This Row],[category &amp; sub-category]],LEN(Table1[[#This Row],[category &amp; sub-category]])-SEARCH("/",Table1[[#This Row],[category &amp; sub-category]]))</f>
        <v>plays</v>
      </c>
    </row>
    <row r="25" spans="2:22" ht="15.75" customHeight="1" x14ac:dyDescent="0.25">
      <c r="B25">
        <v>22</v>
      </c>
      <c r="C25" t="s">
        <v>81</v>
      </c>
      <c r="D25" s="3" t="s">
        <v>82</v>
      </c>
      <c r="E25" s="6">
        <v>59100</v>
      </c>
      <c r="F25" s="6">
        <v>75690</v>
      </c>
      <c r="G25" s="17">
        <f>ROUND(Table1[[#This Row],[pledged]]/Table1[[#This Row],[goal]]*100,2)</f>
        <v>128.07</v>
      </c>
      <c r="H25" s="5">
        <f>+Table1[[#This Row],[pledged]]/Table1[[#This Row],[goal]]</f>
        <v>1.2807106598984772</v>
      </c>
      <c r="I25" t="s">
        <v>20</v>
      </c>
      <c r="J25">
        <v>890</v>
      </c>
      <c r="K25" s="8">
        <f>IFERROR(Table1[[#This Row],[pledged]]/Table1[[#This Row],[backers_count]],"NA")</f>
        <v>85.044943820224717</v>
      </c>
      <c r="L25" t="s">
        <v>21</v>
      </c>
      <c r="M25" t="s">
        <v>22</v>
      </c>
      <c r="N25">
        <v>1522731600</v>
      </c>
      <c r="O25">
        <v>1524027600</v>
      </c>
      <c r="P25" s="11">
        <f>+(((Table1[[#This Row],[launched_at]]/60)/60)/24)+DATE(1970,1,1)</f>
        <v>43193.208333333328</v>
      </c>
      <c r="Q25" s="11">
        <f>+(((Table1[[#This Row],[deadline]]/60)/60)/24)+DATE(1970,1,1)</f>
        <v>43208.208333333328</v>
      </c>
      <c r="R25" t="b">
        <v>0</v>
      </c>
      <c r="S25" t="b">
        <v>0</v>
      </c>
      <c r="T25" t="s">
        <v>33</v>
      </c>
      <c r="U25" t="str">
        <f>+LEFT(Table1[[#This Row],[category &amp; sub-category]],FIND("/",Table1[[#This Row],[category &amp; sub-category]])-1)</f>
        <v>theater</v>
      </c>
      <c r="V25" t="str">
        <f>+RIGHT(Table1[[#This Row],[category &amp; sub-category]],LEN(Table1[[#This Row],[category &amp; sub-category]])-SEARCH("/",Table1[[#This Row],[category &amp; sub-category]]))</f>
        <v>plays</v>
      </c>
    </row>
    <row r="26" spans="2:22" ht="15.75" customHeight="1" x14ac:dyDescent="0.25">
      <c r="B26">
        <v>23</v>
      </c>
      <c r="C26" t="s">
        <v>83</v>
      </c>
      <c r="D26" s="3" t="s">
        <v>84</v>
      </c>
      <c r="E26" s="6">
        <v>4500</v>
      </c>
      <c r="F26" s="6">
        <v>14942</v>
      </c>
      <c r="G26" s="17">
        <f>ROUND(Table1[[#This Row],[pledged]]/Table1[[#This Row],[goal]]*100,2)</f>
        <v>332.04</v>
      </c>
      <c r="H26" s="5">
        <f>+Table1[[#This Row],[pledged]]/Table1[[#This Row],[goal]]</f>
        <v>3.3204444444444445</v>
      </c>
      <c r="I26" t="s">
        <v>20</v>
      </c>
      <c r="J26">
        <v>142</v>
      </c>
      <c r="K26" s="8">
        <f>IFERROR(Table1[[#This Row],[pledged]]/Table1[[#This Row],[backers_count]],"NA")</f>
        <v>105.22535211267606</v>
      </c>
      <c r="L26" t="s">
        <v>40</v>
      </c>
      <c r="M26" t="s">
        <v>41</v>
      </c>
      <c r="N26">
        <v>1550124000</v>
      </c>
      <c r="O26">
        <v>1554699600</v>
      </c>
      <c r="P26" s="11">
        <f>+(((Table1[[#This Row],[launched_at]]/60)/60)/24)+DATE(1970,1,1)</f>
        <v>43510.25</v>
      </c>
      <c r="Q26" s="11">
        <f>+(((Table1[[#This Row],[deadline]]/60)/60)/24)+DATE(1970,1,1)</f>
        <v>43563.208333333328</v>
      </c>
      <c r="R26" t="b">
        <v>0</v>
      </c>
      <c r="S26" t="b">
        <v>0</v>
      </c>
      <c r="T26" t="s">
        <v>42</v>
      </c>
      <c r="U26" t="str">
        <f>+LEFT(Table1[[#This Row],[category &amp; sub-category]],FIND("/",Table1[[#This Row],[category &amp; sub-category]])-1)</f>
        <v>film &amp; video</v>
      </c>
      <c r="V26" t="str">
        <f>+RIGHT(Table1[[#This Row],[category &amp; sub-category]],LEN(Table1[[#This Row],[category &amp; sub-category]])-SEARCH("/",Table1[[#This Row],[category &amp; sub-category]]))</f>
        <v>documentary</v>
      </c>
    </row>
    <row r="27" spans="2:22" ht="15.75" customHeight="1" x14ac:dyDescent="0.25">
      <c r="B27">
        <v>24</v>
      </c>
      <c r="C27" t="s">
        <v>85</v>
      </c>
      <c r="D27" s="3" t="s">
        <v>86</v>
      </c>
      <c r="E27" s="6">
        <v>92400</v>
      </c>
      <c r="F27" s="6">
        <v>104257</v>
      </c>
      <c r="G27" s="17">
        <f>ROUND(Table1[[#This Row],[pledged]]/Table1[[#This Row],[goal]]*100,2)</f>
        <v>112.83</v>
      </c>
      <c r="H27" s="5">
        <f>+Table1[[#This Row],[pledged]]/Table1[[#This Row],[goal]]</f>
        <v>1.1283225108225108</v>
      </c>
      <c r="I27" t="s">
        <v>20</v>
      </c>
      <c r="J27">
        <v>2673</v>
      </c>
      <c r="K27" s="8">
        <f>IFERROR(Table1[[#This Row],[pledged]]/Table1[[#This Row],[backers_count]],"NA")</f>
        <v>39.003741114852225</v>
      </c>
      <c r="L27" t="s">
        <v>21</v>
      </c>
      <c r="M27" t="s">
        <v>22</v>
      </c>
      <c r="N27">
        <v>1403326800</v>
      </c>
      <c r="O27">
        <v>1403499600</v>
      </c>
      <c r="P27" s="11">
        <f>+(((Table1[[#This Row],[launched_at]]/60)/60)/24)+DATE(1970,1,1)</f>
        <v>41811.208333333336</v>
      </c>
      <c r="Q27" s="11">
        <f>+(((Table1[[#This Row],[deadline]]/60)/60)/24)+DATE(1970,1,1)</f>
        <v>41813.208333333336</v>
      </c>
      <c r="R27" t="b">
        <v>0</v>
      </c>
      <c r="S27" t="b">
        <v>0</v>
      </c>
      <c r="T27" t="s">
        <v>65</v>
      </c>
      <c r="U27" t="str">
        <f>+LEFT(Table1[[#This Row],[category &amp; sub-category]],FIND("/",Table1[[#This Row],[category &amp; sub-category]])-1)</f>
        <v>technology</v>
      </c>
      <c r="V27" t="str">
        <f>+RIGHT(Table1[[#This Row],[category &amp; sub-category]],LEN(Table1[[#This Row],[category &amp; sub-category]])-SEARCH("/",Table1[[#This Row],[category &amp; sub-category]]))</f>
        <v>wearables</v>
      </c>
    </row>
    <row r="28" spans="2:22" ht="15.75" customHeight="1" x14ac:dyDescent="0.25">
      <c r="B28">
        <v>25</v>
      </c>
      <c r="C28" t="s">
        <v>87</v>
      </c>
      <c r="D28" s="3" t="s">
        <v>88</v>
      </c>
      <c r="E28" s="6">
        <v>5500</v>
      </c>
      <c r="F28" s="6">
        <v>11904</v>
      </c>
      <c r="G28" s="17">
        <f>ROUND(Table1[[#This Row],[pledged]]/Table1[[#This Row],[goal]]*100,2)</f>
        <v>216.44</v>
      </c>
      <c r="H28" s="5">
        <f>+Table1[[#This Row],[pledged]]/Table1[[#This Row],[goal]]</f>
        <v>2.1643636363636363</v>
      </c>
      <c r="I28" t="s">
        <v>20</v>
      </c>
      <c r="J28">
        <v>163</v>
      </c>
      <c r="K28" s="8">
        <f>IFERROR(Table1[[#This Row],[pledged]]/Table1[[#This Row],[backers_count]],"NA")</f>
        <v>73.030674846625772</v>
      </c>
      <c r="L28" t="s">
        <v>21</v>
      </c>
      <c r="M28" t="s">
        <v>22</v>
      </c>
      <c r="N28">
        <v>1305694800</v>
      </c>
      <c r="O28">
        <v>1307422800</v>
      </c>
      <c r="P28" s="11">
        <f>+(((Table1[[#This Row],[launched_at]]/60)/60)/24)+DATE(1970,1,1)</f>
        <v>40681.208333333336</v>
      </c>
      <c r="Q28" s="11">
        <f>+(((Table1[[#This Row],[deadline]]/60)/60)/24)+DATE(1970,1,1)</f>
        <v>40701.208333333336</v>
      </c>
      <c r="R28" t="b">
        <v>0</v>
      </c>
      <c r="S28" t="b">
        <v>1</v>
      </c>
      <c r="T28" t="s">
        <v>89</v>
      </c>
      <c r="U28" t="str">
        <f>+LEFT(Table1[[#This Row],[category &amp; sub-category]],FIND("/",Table1[[#This Row],[category &amp; sub-category]])-1)</f>
        <v>games</v>
      </c>
      <c r="V28" t="str">
        <f>+RIGHT(Table1[[#This Row],[category &amp; sub-category]],LEN(Table1[[#This Row],[category &amp; sub-category]])-SEARCH("/",Table1[[#This Row],[category &amp; sub-category]]))</f>
        <v>video games</v>
      </c>
    </row>
    <row r="29" spans="2:22" ht="15.75" customHeight="1" x14ac:dyDescent="0.25">
      <c r="B29">
        <v>26</v>
      </c>
      <c r="C29" t="s">
        <v>90</v>
      </c>
      <c r="D29" s="3" t="s">
        <v>91</v>
      </c>
      <c r="E29" s="6">
        <v>107500</v>
      </c>
      <c r="F29" s="6">
        <v>51814</v>
      </c>
      <c r="G29" s="17">
        <f>ROUND(Table1[[#This Row],[pledged]]/Table1[[#This Row],[goal]]*100,2)</f>
        <v>48.2</v>
      </c>
      <c r="H29" s="5">
        <f>+Table1[[#This Row],[pledged]]/Table1[[#This Row],[goal]]</f>
        <v>0.4819906976744186</v>
      </c>
      <c r="I29" t="s">
        <v>74</v>
      </c>
      <c r="J29">
        <v>1480</v>
      </c>
      <c r="K29" s="8">
        <f>IFERROR(Table1[[#This Row],[pledged]]/Table1[[#This Row],[backers_count]],"NA")</f>
        <v>35.009459459459457</v>
      </c>
      <c r="L29" t="s">
        <v>21</v>
      </c>
      <c r="M29" t="s">
        <v>22</v>
      </c>
      <c r="N29">
        <v>1533013200</v>
      </c>
      <c r="O29">
        <v>1535346000</v>
      </c>
      <c r="P29" s="11">
        <f>+(((Table1[[#This Row],[launched_at]]/60)/60)/24)+DATE(1970,1,1)</f>
        <v>43312.208333333328</v>
      </c>
      <c r="Q29" s="11">
        <f>+(((Table1[[#This Row],[deadline]]/60)/60)/24)+DATE(1970,1,1)</f>
        <v>43339.208333333328</v>
      </c>
      <c r="R29" t="b">
        <v>0</v>
      </c>
      <c r="S29" t="b">
        <v>0</v>
      </c>
      <c r="T29" t="s">
        <v>33</v>
      </c>
      <c r="U29" t="str">
        <f>+LEFT(Table1[[#This Row],[category &amp; sub-category]],FIND("/",Table1[[#This Row],[category &amp; sub-category]])-1)</f>
        <v>theater</v>
      </c>
      <c r="V29" t="str">
        <f>+RIGHT(Table1[[#This Row],[category &amp; sub-category]],LEN(Table1[[#This Row],[category &amp; sub-category]])-SEARCH("/",Table1[[#This Row],[category &amp; sub-category]]))</f>
        <v>plays</v>
      </c>
    </row>
    <row r="30" spans="2:22" ht="15.75" customHeight="1" x14ac:dyDescent="0.25">
      <c r="B30">
        <v>27</v>
      </c>
      <c r="C30" t="s">
        <v>92</v>
      </c>
      <c r="D30" s="3" t="s">
        <v>93</v>
      </c>
      <c r="E30" s="6">
        <v>2000</v>
      </c>
      <c r="F30" s="6">
        <v>1599</v>
      </c>
      <c r="G30" s="17">
        <f>ROUND(Table1[[#This Row],[pledged]]/Table1[[#This Row],[goal]]*100,2)</f>
        <v>79.95</v>
      </c>
      <c r="H30" s="5">
        <f>+Table1[[#This Row],[pledged]]/Table1[[#This Row],[goal]]</f>
        <v>0.79949999999999999</v>
      </c>
      <c r="I30" t="s">
        <v>14</v>
      </c>
      <c r="J30">
        <v>15</v>
      </c>
      <c r="K30" s="8">
        <f>IFERROR(Table1[[#This Row],[pledged]]/Table1[[#This Row],[backers_count]],"NA")</f>
        <v>106.6</v>
      </c>
      <c r="L30" t="s">
        <v>21</v>
      </c>
      <c r="M30" t="s">
        <v>22</v>
      </c>
      <c r="N30">
        <v>1443848400</v>
      </c>
      <c r="O30">
        <v>1444539600</v>
      </c>
      <c r="P30" s="11">
        <f>+(((Table1[[#This Row],[launched_at]]/60)/60)/24)+DATE(1970,1,1)</f>
        <v>42280.208333333328</v>
      </c>
      <c r="Q30" s="11">
        <f>+(((Table1[[#This Row],[deadline]]/60)/60)/24)+DATE(1970,1,1)</f>
        <v>42288.208333333328</v>
      </c>
      <c r="R30" t="b">
        <v>0</v>
      </c>
      <c r="S30" t="b">
        <v>0</v>
      </c>
      <c r="T30" t="s">
        <v>23</v>
      </c>
      <c r="U30" t="str">
        <f>+LEFT(Table1[[#This Row],[category &amp; sub-category]],FIND("/",Table1[[#This Row],[category &amp; sub-category]])-1)</f>
        <v>music</v>
      </c>
      <c r="V30" t="str">
        <f>+RIGHT(Table1[[#This Row],[category &amp; sub-category]],LEN(Table1[[#This Row],[category &amp; sub-category]])-SEARCH("/",Table1[[#This Row],[category &amp; sub-category]]))</f>
        <v>rock</v>
      </c>
    </row>
    <row r="31" spans="2:22" ht="15.75" customHeight="1" x14ac:dyDescent="0.25">
      <c r="B31">
        <v>28</v>
      </c>
      <c r="C31" t="s">
        <v>94</v>
      </c>
      <c r="D31" s="3" t="s">
        <v>95</v>
      </c>
      <c r="E31" s="6">
        <v>130800</v>
      </c>
      <c r="F31" s="6">
        <v>137635</v>
      </c>
      <c r="G31" s="17">
        <f>ROUND(Table1[[#This Row],[pledged]]/Table1[[#This Row],[goal]]*100,2)</f>
        <v>105.23</v>
      </c>
      <c r="H31" s="5">
        <f>+Table1[[#This Row],[pledged]]/Table1[[#This Row],[goal]]</f>
        <v>1.0522553516819573</v>
      </c>
      <c r="I31" t="s">
        <v>20</v>
      </c>
      <c r="J31">
        <v>2220</v>
      </c>
      <c r="K31" s="8">
        <f>IFERROR(Table1[[#This Row],[pledged]]/Table1[[#This Row],[backers_count]],"NA")</f>
        <v>61.997747747747745</v>
      </c>
      <c r="L31" t="s">
        <v>21</v>
      </c>
      <c r="M31" t="s">
        <v>22</v>
      </c>
      <c r="N31">
        <v>1265695200</v>
      </c>
      <c r="O31">
        <v>1267682400</v>
      </c>
      <c r="P31" s="11">
        <f>+(((Table1[[#This Row],[launched_at]]/60)/60)/24)+DATE(1970,1,1)</f>
        <v>40218.25</v>
      </c>
      <c r="Q31" s="11">
        <f>+(((Table1[[#This Row],[deadline]]/60)/60)/24)+DATE(1970,1,1)</f>
        <v>40241.25</v>
      </c>
      <c r="R31" t="b">
        <v>0</v>
      </c>
      <c r="S31" t="b">
        <v>1</v>
      </c>
      <c r="T31" t="s">
        <v>33</v>
      </c>
      <c r="U31" t="str">
        <f>+LEFT(Table1[[#This Row],[category &amp; sub-category]],FIND("/",Table1[[#This Row],[category &amp; sub-category]])-1)</f>
        <v>theater</v>
      </c>
      <c r="V31" t="str">
        <f>+RIGHT(Table1[[#This Row],[category &amp; sub-category]],LEN(Table1[[#This Row],[category &amp; sub-category]])-SEARCH("/",Table1[[#This Row],[category &amp; sub-category]]))</f>
        <v>plays</v>
      </c>
    </row>
    <row r="32" spans="2:22" ht="15.75" customHeight="1" x14ac:dyDescent="0.25">
      <c r="B32">
        <v>29</v>
      </c>
      <c r="C32" t="s">
        <v>96</v>
      </c>
      <c r="D32" s="3" t="s">
        <v>97</v>
      </c>
      <c r="E32" s="6">
        <v>45900</v>
      </c>
      <c r="F32" s="6">
        <v>150965</v>
      </c>
      <c r="G32" s="17">
        <f>ROUND(Table1[[#This Row],[pledged]]/Table1[[#This Row],[goal]]*100,2)</f>
        <v>328.9</v>
      </c>
      <c r="H32" s="5">
        <f>+Table1[[#This Row],[pledged]]/Table1[[#This Row],[goal]]</f>
        <v>3.2889978213507627</v>
      </c>
      <c r="I32" t="s">
        <v>20</v>
      </c>
      <c r="J32">
        <v>1606</v>
      </c>
      <c r="K32" s="8">
        <f>IFERROR(Table1[[#This Row],[pledged]]/Table1[[#This Row],[backers_count]],"NA")</f>
        <v>94.000622665006233</v>
      </c>
      <c r="L32" t="s">
        <v>98</v>
      </c>
      <c r="M32" t="s">
        <v>99</v>
      </c>
      <c r="N32">
        <v>1532062800</v>
      </c>
      <c r="O32">
        <v>1535518800</v>
      </c>
      <c r="P32" s="11">
        <f>+(((Table1[[#This Row],[launched_at]]/60)/60)/24)+DATE(1970,1,1)</f>
        <v>43301.208333333328</v>
      </c>
      <c r="Q32" s="11">
        <f>+(((Table1[[#This Row],[deadline]]/60)/60)/24)+DATE(1970,1,1)</f>
        <v>43341.208333333328</v>
      </c>
      <c r="R32" t="b">
        <v>0</v>
      </c>
      <c r="S32" t="b">
        <v>0</v>
      </c>
      <c r="T32" t="s">
        <v>100</v>
      </c>
      <c r="U32" t="str">
        <f>+LEFT(Table1[[#This Row],[category &amp; sub-category]],FIND("/",Table1[[#This Row],[category &amp; sub-category]])-1)</f>
        <v>film &amp; video</v>
      </c>
      <c r="V32" t="str">
        <f>+RIGHT(Table1[[#This Row],[category &amp; sub-category]],LEN(Table1[[#This Row],[category &amp; sub-category]])-SEARCH("/",Table1[[#This Row],[category &amp; sub-category]]))</f>
        <v>shorts</v>
      </c>
    </row>
    <row r="33" spans="2:22" ht="15.75" customHeight="1" x14ac:dyDescent="0.25">
      <c r="B33">
        <v>30</v>
      </c>
      <c r="C33" t="s">
        <v>101</v>
      </c>
      <c r="D33" s="3" t="s">
        <v>102</v>
      </c>
      <c r="E33" s="6">
        <v>9000</v>
      </c>
      <c r="F33" s="6">
        <v>14455</v>
      </c>
      <c r="G33" s="17">
        <f>ROUND(Table1[[#This Row],[pledged]]/Table1[[#This Row],[goal]]*100,2)</f>
        <v>160.61000000000001</v>
      </c>
      <c r="H33" s="5">
        <f>+Table1[[#This Row],[pledged]]/Table1[[#This Row],[goal]]</f>
        <v>1.606111111111111</v>
      </c>
      <c r="I33" t="s">
        <v>20</v>
      </c>
      <c r="J33">
        <v>129</v>
      </c>
      <c r="K33" s="8">
        <f>IFERROR(Table1[[#This Row],[pledged]]/Table1[[#This Row],[backers_count]],"NA")</f>
        <v>112.05426356589147</v>
      </c>
      <c r="L33" t="s">
        <v>21</v>
      </c>
      <c r="M33" t="s">
        <v>22</v>
      </c>
      <c r="N33">
        <v>1558674000</v>
      </c>
      <c r="O33">
        <v>1559106000</v>
      </c>
      <c r="P33" s="11">
        <f>+(((Table1[[#This Row],[launched_at]]/60)/60)/24)+DATE(1970,1,1)</f>
        <v>43609.208333333328</v>
      </c>
      <c r="Q33" s="11">
        <f>+(((Table1[[#This Row],[deadline]]/60)/60)/24)+DATE(1970,1,1)</f>
        <v>43614.208333333328</v>
      </c>
      <c r="R33" t="b">
        <v>0</v>
      </c>
      <c r="S33" t="b">
        <v>0</v>
      </c>
      <c r="T33" t="s">
        <v>71</v>
      </c>
      <c r="U33" t="str">
        <f>+LEFT(Table1[[#This Row],[category &amp; sub-category]],FIND("/",Table1[[#This Row],[category &amp; sub-category]])-1)</f>
        <v>film &amp; video</v>
      </c>
      <c r="V33" t="str">
        <f>+RIGHT(Table1[[#This Row],[category &amp; sub-category]],LEN(Table1[[#This Row],[category &amp; sub-category]])-SEARCH("/",Table1[[#This Row],[category &amp; sub-category]]))</f>
        <v>animation</v>
      </c>
    </row>
    <row r="34" spans="2:22" ht="15.75" customHeight="1" x14ac:dyDescent="0.25">
      <c r="B34">
        <v>31</v>
      </c>
      <c r="C34" t="s">
        <v>103</v>
      </c>
      <c r="D34" s="3" t="s">
        <v>104</v>
      </c>
      <c r="E34" s="6">
        <v>3500</v>
      </c>
      <c r="F34" s="6">
        <v>10850</v>
      </c>
      <c r="G34" s="17">
        <f>ROUND(Table1[[#This Row],[pledged]]/Table1[[#This Row],[goal]]*100,2)</f>
        <v>310</v>
      </c>
      <c r="H34" s="5">
        <f>+Table1[[#This Row],[pledged]]/Table1[[#This Row],[goal]]</f>
        <v>3.1</v>
      </c>
      <c r="I34" t="s">
        <v>20</v>
      </c>
      <c r="J34">
        <v>226</v>
      </c>
      <c r="K34" s="8">
        <f>IFERROR(Table1[[#This Row],[pledged]]/Table1[[#This Row],[backers_count]],"NA")</f>
        <v>48.008849557522126</v>
      </c>
      <c r="L34" t="s">
        <v>40</v>
      </c>
      <c r="M34" t="s">
        <v>41</v>
      </c>
      <c r="N34">
        <v>1451973600</v>
      </c>
      <c r="O34">
        <v>1454392800</v>
      </c>
      <c r="P34" s="11">
        <f>+(((Table1[[#This Row],[launched_at]]/60)/60)/24)+DATE(1970,1,1)</f>
        <v>42374.25</v>
      </c>
      <c r="Q34" s="11">
        <f>+(((Table1[[#This Row],[deadline]]/60)/60)/24)+DATE(1970,1,1)</f>
        <v>42402.25</v>
      </c>
      <c r="R34" t="b">
        <v>0</v>
      </c>
      <c r="S34" t="b">
        <v>0</v>
      </c>
      <c r="T34" t="s">
        <v>89</v>
      </c>
      <c r="U34" t="str">
        <f>+LEFT(Table1[[#This Row],[category &amp; sub-category]],FIND("/",Table1[[#This Row],[category &amp; sub-category]])-1)</f>
        <v>games</v>
      </c>
      <c r="V34" t="str">
        <f>+RIGHT(Table1[[#This Row],[category &amp; sub-category]],LEN(Table1[[#This Row],[category &amp; sub-category]])-SEARCH("/",Table1[[#This Row],[category &amp; sub-category]]))</f>
        <v>video games</v>
      </c>
    </row>
    <row r="35" spans="2:22" ht="15.75" customHeight="1" x14ac:dyDescent="0.25">
      <c r="B35">
        <v>32</v>
      </c>
      <c r="C35" t="s">
        <v>105</v>
      </c>
      <c r="D35" s="3" t="s">
        <v>106</v>
      </c>
      <c r="E35" s="6">
        <v>101000</v>
      </c>
      <c r="F35" s="6">
        <v>87676</v>
      </c>
      <c r="G35" s="17">
        <f>ROUND(Table1[[#This Row],[pledged]]/Table1[[#This Row],[goal]]*100,2)</f>
        <v>86.81</v>
      </c>
      <c r="H35" s="5">
        <f>+Table1[[#This Row],[pledged]]/Table1[[#This Row],[goal]]</f>
        <v>0.86807920792079207</v>
      </c>
      <c r="I35" t="s">
        <v>14</v>
      </c>
      <c r="J35">
        <v>2307</v>
      </c>
      <c r="K35" s="8">
        <f>IFERROR(Table1[[#This Row],[pledged]]/Table1[[#This Row],[backers_count]],"NA")</f>
        <v>38.004334633723452</v>
      </c>
      <c r="L35" t="s">
        <v>107</v>
      </c>
      <c r="M35" t="s">
        <v>108</v>
      </c>
      <c r="N35">
        <v>1515564000</v>
      </c>
      <c r="O35">
        <v>1517896800</v>
      </c>
      <c r="P35" s="11">
        <f>+(((Table1[[#This Row],[launched_at]]/60)/60)/24)+DATE(1970,1,1)</f>
        <v>43110.25</v>
      </c>
      <c r="Q35" s="11">
        <f>+(((Table1[[#This Row],[deadline]]/60)/60)/24)+DATE(1970,1,1)</f>
        <v>43137.25</v>
      </c>
      <c r="R35" t="b">
        <v>0</v>
      </c>
      <c r="S35" t="b">
        <v>0</v>
      </c>
      <c r="T35" t="s">
        <v>42</v>
      </c>
      <c r="U35" t="str">
        <f>+LEFT(Table1[[#This Row],[category &amp; sub-category]],FIND("/",Table1[[#This Row],[category &amp; sub-category]])-1)</f>
        <v>film &amp; video</v>
      </c>
      <c r="V35" t="str">
        <f>+RIGHT(Table1[[#This Row],[category &amp; sub-category]],LEN(Table1[[#This Row],[category &amp; sub-category]])-SEARCH("/",Table1[[#This Row],[category &amp; sub-category]]))</f>
        <v>documentary</v>
      </c>
    </row>
    <row r="36" spans="2:22" ht="15.75" customHeight="1" x14ac:dyDescent="0.25">
      <c r="B36">
        <v>33</v>
      </c>
      <c r="C36" t="s">
        <v>109</v>
      </c>
      <c r="D36" s="3" t="s">
        <v>110</v>
      </c>
      <c r="E36" s="6">
        <v>50200</v>
      </c>
      <c r="F36" s="6">
        <v>189666</v>
      </c>
      <c r="G36" s="17">
        <f>ROUND(Table1[[#This Row],[pledged]]/Table1[[#This Row],[goal]]*100,2)</f>
        <v>377.82</v>
      </c>
      <c r="H36" s="5">
        <f>+Table1[[#This Row],[pledged]]/Table1[[#This Row],[goal]]</f>
        <v>3.7782071713147412</v>
      </c>
      <c r="I36" t="s">
        <v>20</v>
      </c>
      <c r="J36">
        <v>5419</v>
      </c>
      <c r="K36" s="8">
        <f>IFERROR(Table1[[#This Row],[pledged]]/Table1[[#This Row],[backers_count]],"NA")</f>
        <v>35.000184535892231</v>
      </c>
      <c r="L36" t="s">
        <v>21</v>
      </c>
      <c r="M36" t="s">
        <v>22</v>
      </c>
      <c r="N36">
        <v>1412485200</v>
      </c>
      <c r="O36">
        <v>1415685600</v>
      </c>
      <c r="P36" s="11">
        <f>+(((Table1[[#This Row],[launched_at]]/60)/60)/24)+DATE(1970,1,1)</f>
        <v>41917.208333333336</v>
      </c>
      <c r="Q36" s="11">
        <f>+(((Table1[[#This Row],[deadline]]/60)/60)/24)+DATE(1970,1,1)</f>
        <v>41954.25</v>
      </c>
      <c r="R36" t="b">
        <v>0</v>
      </c>
      <c r="S36" t="b">
        <v>0</v>
      </c>
      <c r="T36" t="s">
        <v>33</v>
      </c>
      <c r="U36" t="str">
        <f>+LEFT(Table1[[#This Row],[category &amp; sub-category]],FIND("/",Table1[[#This Row],[category &amp; sub-category]])-1)</f>
        <v>theater</v>
      </c>
      <c r="V36" t="str">
        <f>+RIGHT(Table1[[#This Row],[category &amp; sub-category]],LEN(Table1[[#This Row],[category &amp; sub-category]])-SEARCH("/",Table1[[#This Row],[category &amp; sub-category]]))</f>
        <v>plays</v>
      </c>
    </row>
    <row r="37" spans="2:22" ht="15.75" customHeight="1" x14ac:dyDescent="0.25">
      <c r="B37">
        <v>34</v>
      </c>
      <c r="C37" t="s">
        <v>111</v>
      </c>
      <c r="D37" s="3" t="s">
        <v>112</v>
      </c>
      <c r="E37" s="6">
        <v>9300</v>
      </c>
      <c r="F37" s="6">
        <v>14025</v>
      </c>
      <c r="G37" s="17">
        <f>ROUND(Table1[[#This Row],[pledged]]/Table1[[#This Row],[goal]]*100,2)</f>
        <v>150.81</v>
      </c>
      <c r="H37" s="5">
        <f>+Table1[[#This Row],[pledged]]/Table1[[#This Row],[goal]]</f>
        <v>1.5080645161290323</v>
      </c>
      <c r="I37" t="s">
        <v>20</v>
      </c>
      <c r="J37">
        <v>165</v>
      </c>
      <c r="K37" s="8">
        <f>IFERROR(Table1[[#This Row],[pledged]]/Table1[[#This Row],[backers_count]],"NA")</f>
        <v>85</v>
      </c>
      <c r="L37" t="s">
        <v>21</v>
      </c>
      <c r="M37" t="s">
        <v>22</v>
      </c>
      <c r="N37">
        <v>1490245200</v>
      </c>
      <c r="O37">
        <v>1490677200</v>
      </c>
      <c r="P37" s="11">
        <f>+(((Table1[[#This Row],[launched_at]]/60)/60)/24)+DATE(1970,1,1)</f>
        <v>42817.208333333328</v>
      </c>
      <c r="Q37" s="11">
        <f>+(((Table1[[#This Row],[deadline]]/60)/60)/24)+DATE(1970,1,1)</f>
        <v>42822.208333333328</v>
      </c>
      <c r="R37" t="b">
        <v>0</v>
      </c>
      <c r="S37" t="b">
        <v>0</v>
      </c>
      <c r="T37" t="s">
        <v>42</v>
      </c>
      <c r="U37" t="str">
        <f>+LEFT(Table1[[#This Row],[category &amp; sub-category]],FIND("/",Table1[[#This Row],[category &amp; sub-category]])-1)</f>
        <v>film &amp; video</v>
      </c>
      <c r="V37" t="str">
        <f>+RIGHT(Table1[[#This Row],[category &amp; sub-category]],LEN(Table1[[#This Row],[category &amp; sub-category]])-SEARCH("/",Table1[[#This Row],[category &amp; sub-category]]))</f>
        <v>documentary</v>
      </c>
    </row>
    <row r="38" spans="2:22" ht="15.75" customHeight="1" x14ac:dyDescent="0.25">
      <c r="B38">
        <v>35</v>
      </c>
      <c r="C38" t="s">
        <v>113</v>
      </c>
      <c r="D38" s="3" t="s">
        <v>114</v>
      </c>
      <c r="E38" s="6">
        <v>125500</v>
      </c>
      <c r="F38" s="6">
        <v>188628</v>
      </c>
      <c r="G38" s="17">
        <f>ROUND(Table1[[#This Row],[pledged]]/Table1[[#This Row],[goal]]*100,2)</f>
        <v>150.30000000000001</v>
      </c>
      <c r="H38" s="5">
        <f>+Table1[[#This Row],[pledged]]/Table1[[#This Row],[goal]]</f>
        <v>1.5030119521912351</v>
      </c>
      <c r="I38" t="s">
        <v>20</v>
      </c>
      <c r="J38">
        <v>1965</v>
      </c>
      <c r="K38" s="8">
        <f>IFERROR(Table1[[#This Row],[pledged]]/Table1[[#This Row],[backers_count]],"NA")</f>
        <v>95.993893129770996</v>
      </c>
      <c r="L38" t="s">
        <v>36</v>
      </c>
      <c r="M38" t="s">
        <v>37</v>
      </c>
      <c r="N38">
        <v>1547877600</v>
      </c>
      <c r="O38">
        <v>1551506400</v>
      </c>
      <c r="P38" s="11">
        <f>+(((Table1[[#This Row],[launched_at]]/60)/60)/24)+DATE(1970,1,1)</f>
        <v>43484.25</v>
      </c>
      <c r="Q38" s="11">
        <f>+(((Table1[[#This Row],[deadline]]/60)/60)/24)+DATE(1970,1,1)</f>
        <v>43526.25</v>
      </c>
      <c r="R38" t="b">
        <v>0</v>
      </c>
      <c r="S38" t="b">
        <v>1</v>
      </c>
      <c r="T38" t="s">
        <v>53</v>
      </c>
      <c r="U38" t="str">
        <f>+LEFT(Table1[[#This Row],[category &amp; sub-category]],FIND("/",Table1[[#This Row],[category &amp; sub-category]])-1)</f>
        <v>film &amp; video</v>
      </c>
      <c r="V38" t="str">
        <f>+RIGHT(Table1[[#This Row],[category &amp; sub-category]],LEN(Table1[[#This Row],[category &amp; sub-category]])-SEARCH("/",Table1[[#This Row],[category &amp; sub-category]]))</f>
        <v>drama</v>
      </c>
    </row>
    <row r="39" spans="2:22" ht="15.75" customHeight="1" x14ac:dyDescent="0.25">
      <c r="B39">
        <v>36</v>
      </c>
      <c r="C39" t="s">
        <v>115</v>
      </c>
      <c r="D39" s="3" t="s">
        <v>116</v>
      </c>
      <c r="E39" s="6">
        <v>700</v>
      </c>
      <c r="F39" s="6">
        <v>1101</v>
      </c>
      <c r="G39" s="17">
        <f>ROUND(Table1[[#This Row],[pledged]]/Table1[[#This Row],[goal]]*100,2)</f>
        <v>157.29</v>
      </c>
      <c r="H39" s="5">
        <f>+Table1[[#This Row],[pledged]]/Table1[[#This Row],[goal]]</f>
        <v>1.572857142857143</v>
      </c>
      <c r="I39" t="s">
        <v>20</v>
      </c>
      <c r="J39">
        <v>16</v>
      </c>
      <c r="K39" s="8">
        <f>IFERROR(Table1[[#This Row],[pledged]]/Table1[[#This Row],[backers_count]],"NA")</f>
        <v>68.8125</v>
      </c>
      <c r="L39" t="s">
        <v>21</v>
      </c>
      <c r="M39" t="s">
        <v>22</v>
      </c>
      <c r="N39">
        <v>1298700000</v>
      </c>
      <c r="O39">
        <v>1300856400</v>
      </c>
      <c r="P39" s="11">
        <f>+(((Table1[[#This Row],[launched_at]]/60)/60)/24)+DATE(1970,1,1)</f>
        <v>40600.25</v>
      </c>
      <c r="Q39" s="11">
        <f>+(((Table1[[#This Row],[deadline]]/60)/60)/24)+DATE(1970,1,1)</f>
        <v>40625.208333333336</v>
      </c>
      <c r="R39" t="b">
        <v>0</v>
      </c>
      <c r="S39" t="b">
        <v>0</v>
      </c>
      <c r="T39" t="s">
        <v>33</v>
      </c>
      <c r="U39" t="str">
        <f>+LEFT(Table1[[#This Row],[category &amp; sub-category]],FIND("/",Table1[[#This Row],[category &amp; sub-category]])-1)</f>
        <v>theater</v>
      </c>
      <c r="V39" t="str">
        <f>+RIGHT(Table1[[#This Row],[category &amp; sub-category]],LEN(Table1[[#This Row],[category &amp; sub-category]])-SEARCH("/",Table1[[#This Row],[category &amp; sub-category]]))</f>
        <v>plays</v>
      </c>
    </row>
    <row r="40" spans="2:22" ht="15.75" customHeight="1" x14ac:dyDescent="0.25">
      <c r="B40">
        <v>37</v>
      </c>
      <c r="C40" t="s">
        <v>117</v>
      </c>
      <c r="D40" s="3" t="s">
        <v>118</v>
      </c>
      <c r="E40" s="6">
        <v>8100</v>
      </c>
      <c r="F40" s="6">
        <v>11339</v>
      </c>
      <c r="G40" s="17">
        <f>ROUND(Table1[[#This Row],[pledged]]/Table1[[#This Row],[goal]]*100,2)</f>
        <v>139.99</v>
      </c>
      <c r="H40" s="5">
        <f>+Table1[[#This Row],[pledged]]/Table1[[#This Row],[goal]]</f>
        <v>1.3998765432098765</v>
      </c>
      <c r="I40" t="s">
        <v>20</v>
      </c>
      <c r="J40">
        <v>107</v>
      </c>
      <c r="K40" s="8">
        <f>IFERROR(Table1[[#This Row],[pledged]]/Table1[[#This Row],[backers_count]],"NA")</f>
        <v>105.97196261682242</v>
      </c>
      <c r="L40" t="s">
        <v>21</v>
      </c>
      <c r="M40" t="s">
        <v>22</v>
      </c>
      <c r="N40">
        <v>1570338000</v>
      </c>
      <c r="O40">
        <v>1573192800</v>
      </c>
      <c r="P40" s="11">
        <f>+(((Table1[[#This Row],[launched_at]]/60)/60)/24)+DATE(1970,1,1)</f>
        <v>43744.208333333328</v>
      </c>
      <c r="Q40" s="11">
        <f>+(((Table1[[#This Row],[deadline]]/60)/60)/24)+DATE(1970,1,1)</f>
        <v>43777.25</v>
      </c>
      <c r="R40" t="b">
        <v>0</v>
      </c>
      <c r="S40" t="b">
        <v>1</v>
      </c>
      <c r="T40" t="s">
        <v>119</v>
      </c>
      <c r="U40" t="str">
        <f>+LEFT(Table1[[#This Row],[category &amp; sub-category]],FIND("/",Table1[[#This Row],[category &amp; sub-category]])-1)</f>
        <v>publishing</v>
      </c>
      <c r="V40" t="str">
        <f>+RIGHT(Table1[[#This Row],[category &amp; sub-category]],LEN(Table1[[#This Row],[category &amp; sub-category]])-SEARCH("/",Table1[[#This Row],[category &amp; sub-category]]))</f>
        <v>fiction</v>
      </c>
    </row>
    <row r="41" spans="2:22" ht="15.75" customHeight="1" x14ac:dyDescent="0.25">
      <c r="B41">
        <v>38</v>
      </c>
      <c r="C41" t="s">
        <v>120</v>
      </c>
      <c r="D41" s="3" t="s">
        <v>121</v>
      </c>
      <c r="E41" s="6">
        <v>3100</v>
      </c>
      <c r="F41" s="6">
        <v>10085</v>
      </c>
      <c r="G41" s="17">
        <f>ROUND(Table1[[#This Row],[pledged]]/Table1[[#This Row],[goal]]*100,2)</f>
        <v>325.32</v>
      </c>
      <c r="H41" s="5">
        <f>+Table1[[#This Row],[pledged]]/Table1[[#This Row],[goal]]</f>
        <v>3.2532258064516131</v>
      </c>
      <c r="I41" t="s">
        <v>20</v>
      </c>
      <c r="J41">
        <v>134</v>
      </c>
      <c r="K41" s="8">
        <f>IFERROR(Table1[[#This Row],[pledged]]/Table1[[#This Row],[backers_count]],"NA")</f>
        <v>75.261194029850742</v>
      </c>
      <c r="L41" t="s">
        <v>21</v>
      </c>
      <c r="M41" t="s">
        <v>22</v>
      </c>
      <c r="N41">
        <v>1287378000</v>
      </c>
      <c r="O41">
        <v>1287810000</v>
      </c>
      <c r="P41" s="11">
        <f>+(((Table1[[#This Row],[launched_at]]/60)/60)/24)+DATE(1970,1,1)</f>
        <v>40469.208333333336</v>
      </c>
      <c r="Q41" s="11">
        <f>+(((Table1[[#This Row],[deadline]]/60)/60)/24)+DATE(1970,1,1)</f>
        <v>40474.208333333336</v>
      </c>
      <c r="R41" t="b">
        <v>0</v>
      </c>
      <c r="S41" t="b">
        <v>0</v>
      </c>
      <c r="T41" t="s">
        <v>122</v>
      </c>
      <c r="U41" t="str">
        <f>+LEFT(Table1[[#This Row],[category &amp; sub-category]],FIND("/",Table1[[#This Row],[category &amp; sub-category]])-1)</f>
        <v>photography</v>
      </c>
      <c r="V41" t="str">
        <f>+RIGHT(Table1[[#This Row],[category &amp; sub-category]],LEN(Table1[[#This Row],[category &amp; sub-category]])-SEARCH("/",Table1[[#This Row],[category &amp; sub-category]]))</f>
        <v>photography books</v>
      </c>
    </row>
    <row r="42" spans="2:22" ht="15.75" customHeight="1" x14ac:dyDescent="0.25">
      <c r="B42">
        <v>39</v>
      </c>
      <c r="C42" t="s">
        <v>123</v>
      </c>
      <c r="D42" s="3" t="s">
        <v>124</v>
      </c>
      <c r="E42" s="6">
        <v>9900</v>
      </c>
      <c r="F42" s="6">
        <v>5027</v>
      </c>
      <c r="G42" s="17">
        <f>ROUND(Table1[[#This Row],[pledged]]/Table1[[#This Row],[goal]]*100,2)</f>
        <v>50.78</v>
      </c>
      <c r="H42" s="5">
        <f>+Table1[[#This Row],[pledged]]/Table1[[#This Row],[goal]]</f>
        <v>0.50777777777777777</v>
      </c>
      <c r="I42" t="s">
        <v>14</v>
      </c>
      <c r="J42">
        <v>88</v>
      </c>
      <c r="K42" s="8">
        <f>IFERROR(Table1[[#This Row],[pledged]]/Table1[[#This Row],[backers_count]],"NA")</f>
        <v>57.125</v>
      </c>
      <c r="L42" t="s">
        <v>36</v>
      </c>
      <c r="M42" t="s">
        <v>37</v>
      </c>
      <c r="N42">
        <v>1361772000</v>
      </c>
      <c r="O42">
        <v>1362978000</v>
      </c>
      <c r="P42" s="11">
        <f>+(((Table1[[#This Row],[launched_at]]/60)/60)/24)+DATE(1970,1,1)</f>
        <v>41330.25</v>
      </c>
      <c r="Q42" s="11">
        <f>+(((Table1[[#This Row],[deadline]]/60)/60)/24)+DATE(1970,1,1)</f>
        <v>41344.208333333336</v>
      </c>
      <c r="R42" t="b">
        <v>0</v>
      </c>
      <c r="S42" t="b">
        <v>0</v>
      </c>
      <c r="T42" t="s">
        <v>33</v>
      </c>
      <c r="U42" t="str">
        <f>+LEFT(Table1[[#This Row],[category &amp; sub-category]],FIND("/",Table1[[#This Row],[category &amp; sub-category]])-1)</f>
        <v>theater</v>
      </c>
      <c r="V42" t="str">
        <f>+RIGHT(Table1[[#This Row],[category &amp; sub-category]],LEN(Table1[[#This Row],[category &amp; sub-category]])-SEARCH("/",Table1[[#This Row],[category &amp; sub-category]]))</f>
        <v>plays</v>
      </c>
    </row>
    <row r="43" spans="2:22" ht="15.75" customHeight="1" x14ac:dyDescent="0.25">
      <c r="B43">
        <v>40</v>
      </c>
      <c r="C43" t="s">
        <v>125</v>
      </c>
      <c r="D43" s="3" t="s">
        <v>126</v>
      </c>
      <c r="E43" s="6">
        <v>8800</v>
      </c>
      <c r="F43" s="6">
        <v>14878</v>
      </c>
      <c r="G43" s="17">
        <f>ROUND(Table1[[#This Row],[pledged]]/Table1[[#This Row],[goal]]*100,2)</f>
        <v>169.07</v>
      </c>
      <c r="H43" s="5">
        <f>+Table1[[#This Row],[pledged]]/Table1[[#This Row],[goal]]</f>
        <v>1.6906818181818182</v>
      </c>
      <c r="I43" t="s">
        <v>20</v>
      </c>
      <c r="J43">
        <v>198</v>
      </c>
      <c r="K43" s="8">
        <f>IFERROR(Table1[[#This Row],[pledged]]/Table1[[#This Row],[backers_count]],"NA")</f>
        <v>75.141414141414145</v>
      </c>
      <c r="L43" t="s">
        <v>21</v>
      </c>
      <c r="M43" t="s">
        <v>22</v>
      </c>
      <c r="N43">
        <v>1275714000</v>
      </c>
      <c r="O43">
        <v>1277355600</v>
      </c>
      <c r="P43" s="11">
        <f>+(((Table1[[#This Row],[launched_at]]/60)/60)/24)+DATE(1970,1,1)</f>
        <v>40334.208333333336</v>
      </c>
      <c r="Q43" s="11">
        <f>+(((Table1[[#This Row],[deadline]]/60)/60)/24)+DATE(1970,1,1)</f>
        <v>40353.208333333336</v>
      </c>
      <c r="R43" t="b">
        <v>0</v>
      </c>
      <c r="S43" t="b">
        <v>1</v>
      </c>
      <c r="T43" t="s">
        <v>65</v>
      </c>
      <c r="U43" t="str">
        <f>+LEFT(Table1[[#This Row],[category &amp; sub-category]],FIND("/",Table1[[#This Row],[category &amp; sub-category]])-1)</f>
        <v>technology</v>
      </c>
      <c r="V43" t="str">
        <f>+RIGHT(Table1[[#This Row],[category &amp; sub-category]],LEN(Table1[[#This Row],[category &amp; sub-category]])-SEARCH("/",Table1[[#This Row],[category &amp; sub-category]]))</f>
        <v>wearables</v>
      </c>
    </row>
    <row r="44" spans="2:22" ht="15.75" customHeight="1" x14ac:dyDescent="0.25">
      <c r="B44">
        <v>41</v>
      </c>
      <c r="C44" t="s">
        <v>127</v>
      </c>
      <c r="D44" s="3" t="s">
        <v>128</v>
      </c>
      <c r="E44" s="6">
        <v>5600</v>
      </c>
      <c r="F44" s="6">
        <v>11924</v>
      </c>
      <c r="G44" s="17">
        <f>ROUND(Table1[[#This Row],[pledged]]/Table1[[#This Row],[goal]]*100,2)</f>
        <v>212.93</v>
      </c>
      <c r="H44" s="5">
        <f>+Table1[[#This Row],[pledged]]/Table1[[#This Row],[goal]]</f>
        <v>2.1292857142857144</v>
      </c>
      <c r="I44" t="s">
        <v>20</v>
      </c>
      <c r="J44">
        <v>111</v>
      </c>
      <c r="K44" s="8">
        <f>IFERROR(Table1[[#This Row],[pledged]]/Table1[[#This Row],[backers_count]],"NA")</f>
        <v>107.42342342342343</v>
      </c>
      <c r="L44" t="s">
        <v>107</v>
      </c>
      <c r="M44" t="s">
        <v>108</v>
      </c>
      <c r="N44">
        <v>1346734800</v>
      </c>
      <c r="O44">
        <v>1348981200</v>
      </c>
      <c r="P44" s="11">
        <f>+(((Table1[[#This Row],[launched_at]]/60)/60)/24)+DATE(1970,1,1)</f>
        <v>41156.208333333336</v>
      </c>
      <c r="Q44" s="11">
        <f>+(((Table1[[#This Row],[deadline]]/60)/60)/24)+DATE(1970,1,1)</f>
        <v>41182.208333333336</v>
      </c>
      <c r="R44" t="b">
        <v>0</v>
      </c>
      <c r="S44" t="b">
        <v>1</v>
      </c>
      <c r="T44" t="s">
        <v>23</v>
      </c>
      <c r="U44" t="str">
        <f>+LEFT(Table1[[#This Row],[category &amp; sub-category]],FIND("/",Table1[[#This Row],[category &amp; sub-category]])-1)</f>
        <v>music</v>
      </c>
      <c r="V44" t="str">
        <f>+RIGHT(Table1[[#This Row],[category &amp; sub-category]],LEN(Table1[[#This Row],[category &amp; sub-category]])-SEARCH("/",Table1[[#This Row],[category &amp; sub-category]]))</f>
        <v>rock</v>
      </c>
    </row>
    <row r="45" spans="2:22" ht="15.75" customHeight="1" x14ac:dyDescent="0.25">
      <c r="B45">
        <v>42</v>
      </c>
      <c r="C45" t="s">
        <v>129</v>
      </c>
      <c r="D45" s="3" t="s">
        <v>130</v>
      </c>
      <c r="E45" s="6">
        <v>1800</v>
      </c>
      <c r="F45" s="6">
        <v>7991</v>
      </c>
      <c r="G45" s="17">
        <f>ROUND(Table1[[#This Row],[pledged]]/Table1[[#This Row],[goal]]*100,2)</f>
        <v>443.94</v>
      </c>
      <c r="H45" s="5">
        <f>+Table1[[#This Row],[pledged]]/Table1[[#This Row],[goal]]</f>
        <v>4.4394444444444447</v>
      </c>
      <c r="I45" t="s">
        <v>20</v>
      </c>
      <c r="J45">
        <v>222</v>
      </c>
      <c r="K45" s="8">
        <f>IFERROR(Table1[[#This Row],[pledged]]/Table1[[#This Row],[backers_count]],"NA")</f>
        <v>35.995495495495497</v>
      </c>
      <c r="L45" t="s">
        <v>21</v>
      </c>
      <c r="M45" t="s">
        <v>22</v>
      </c>
      <c r="N45">
        <v>1309755600</v>
      </c>
      <c r="O45">
        <v>1310533200</v>
      </c>
      <c r="P45" s="11">
        <f>+(((Table1[[#This Row],[launched_at]]/60)/60)/24)+DATE(1970,1,1)</f>
        <v>40728.208333333336</v>
      </c>
      <c r="Q45" s="11">
        <f>+(((Table1[[#This Row],[deadline]]/60)/60)/24)+DATE(1970,1,1)</f>
        <v>40737.208333333336</v>
      </c>
      <c r="R45" t="b">
        <v>0</v>
      </c>
      <c r="S45" t="b">
        <v>0</v>
      </c>
      <c r="T45" t="s">
        <v>17</v>
      </c>
      <c r="U45" t="str">
        <f>+LEFT(Table1[[#This Row],[category &amp; sub-category]],FIND("/",Table1[[#This Row],[category &amp; sub-category]])-1)</f>
        <v>food</v>
      </c>
      <c r="V45" t="str">
        <f>+RIGHT(Table1[[#This Row],[category &amp; sub-category]],LEN(Table1[[#This Row],[category &amp; sub-category]])-SEARCH("/",Table1[[#This Row],[category &amp; sub-category]]))</f>
        <v>food trucks</v>
      </c>
    </row>
    <row r="46" spans="2:22" ht="15.75" customHeight="1" x14ac:dyDescent="0.25">
      <c r="B46">
        <v>43</v>
      </c>
      <c r="C46" t="s">
        <v>131</v>
      </c>
      <c r="D46" s="3" t="s">
        <v>132</v>
      </c>
      <c r="E46" s="6">
        <v>90200</v>
      </c>
      <c r="F46" s="6">
        <v>167717</v>
      </c>
      <c r="G46" s="17">
        <f>ROUND(Table1[[#This Row],[pledged]]/Table1[[#This Row],[goal]]*100,2)</f>
        <v>185.94</v>
      </c>
      <c r="H46" s="5">
        <f>+Table1[[#This Row],[pledged]]/Table1[[#This Row],[goal]]</f>
        <v>1.859390243902439</v>
      </c>
      <c r="I46" t="s">
        <v>20</v>
      </c>
      <c r="J46">
        <v>6212</v>
      </c>
      <c r="K46" s="8">
        <f>IFERROR(Table1[[#This Row],[pledged]]/Table1[[#This Row],[backers_count]],"NA")</f>
        <v>26.998873148744366</v>
      </c>
      <c r="L46" t="s">
        <v>21</v>
      </c>
      <c r="M46" t="s">
        <v>22</v>
      </c>
      <c r="N46">
        <v>1406178000</v>
      </c>
      <c r="O46">
        <v>1407560400</v>
      </c>
      <c r="P46" s="11">
        <f>+(((Table1[[#This Row],[launched_at]]/60)/60)/24)+DATE(1970,1,1)</f>
        <v>41844.208333333336</v>
      </c>
      <c r="Q46" s="11">
        <f>+(((Table1[[#This Row],[deadline]]/60)/60)/24)+DATE(1970,1,1)</f>
        <v>41860.208333333336</v>
      </c>
      <c r="R46" t="b">
        <v>0</v>
      </c>
      <c r="S46" t="b">
        <v>0</v>
      </c>
      <c r="T46" t="s">
        <v>133</v>
      </c>
      <c r="U46" t="str">
        <f>+LEFT(Table1[[#This Row],[category &amp; sub-category]],FIND("/",Table1[[#This Row],[category &amp; sub-category]])-1)</f>
        <v>publishing</v>
      </c>
      <c r="V46" t="str">
        <f>+RIGHT(Table1[[#This Row],[category &amp; sub-category]],LEN(Table1[[#This Row],[category &amp; sub-category]])-SEARCH("/",Table1[[#This Row],[category &amp; sub-category]]))</f>
        <v>radio &amp; podcasts</v>
      </c>
    </row>
    <row r="47" spans="2:22" ht="15.75" customHeight="1" x14ac:dyDescent="0.25">
      <c r="B47">
        <v>44</v>
      </c>
      <c r="C47" t="s">
        <v>134</v>
      </c>
      <c r="D47" s="3" t="s">
        <v>135</v>
      </c>
      <c r="E47" s="6">
        <v>1600</v>
      </c>
      <c r="F47" s="6">
        <v>10541</v>
      </c>
      <c r="G47" s="17">
        <f>ROUND(Table1[[#This Row],[pledged]]/Table1[[#This Row],[goal]]*100,2)</f>
        <v>658.81</v>
      </c>
      <c r="H47" s="5">
        <f>+Table1[[#This Row],[pledged]]/Table1[[#This Row],[goal]]</f>
        <v>6.5881249999999998</v>
      </c>
      <c r="I47" t="s">
        <v>20</v>
      </c>
      <c r="J47">
        <v>98</v>
      </c>
      <c r="K47" s="8">
        <f>IFERROR(Table1[[#This Row],[pledged]]/Table1[[#This Row],[backers_count]],"NA")</f>
        <v>107.56122448979592</v>
      </c>
      <c r="L47" t="s">
        <v>36</v>
      </c>
      <c r="M47" t="s">
        <v>37</v>
      </c>
      <c r="N47">
        <v>1552798800</v>
      </c>
      <c r="O47">
        <v>1552885200</v>
      </c>
      <c r="P47" s="11">
        <f>+(((Table1[[#This Row],[launched_at]]/60)/60)/24)+DATE(1970,1,1)</f>
        <v>43541.208333333328</v>
      </c>
      <c r="Q47" s="11">
        <f>+(((Table1[[#This Row],[deadline]]/60)/60)/24)+DATE(1970,1,1)</f>
        <v>43542.208333333328</v>
      </c>
      <c r="R47" t="b">
        <v>0</v>
      </c>
      <c r="S47" t="b">
        <v>0</v>
      </c>
      <c r="T47" t="s">
        <v>119</v>
      </c>
      <c r="U47" t="str">
        <f>+LEFT(Table1[[#This Row],[category &amp; sub-category]],FIND("/",Table1[[#This Row],[category &amp; sub-category]])-1)</f>
        <v>publishing</v>
      </c>
      <c r="V47" t="str">
        <f>+RIGHT(Table1[[#This Row],[category &amp; sub-category]],LEN(Table1[[#This Row],[category &amp; sub-category]])-SEARCH("/",Table1[[#This Row],[category &amp; sub-category]]))</f>
        <v>fiction</v>
      </c>
    </row>
    <row r="48" spans="2:22" ht="15.75" customHeight="1" x14ac:dyDescent="0.25">
      <c r="B48">
        <v>45</v>
      </c>
      <c r="C48" t="s">
        <v>136</v>
      </c>
      <c r="D48" s="3" t="s">
        <v>137</v>
      </c>
      <c r="E48" s="6">
        <v>9500</v>
      </c>
      <c r="F48" s="6">
        <v>4530</v>
      </c>
      <c r="G48" s="17">
        <f>ROUND(Table1[[#This Row],[pledged]]/Table1[[#This Row],[goal]]*100,2)</f>
        <v>47.68</v>
      </c>
      <c r="H48" s="5">
        <f>+Table1[[#This Row],[pledged]]/Table1[[#This Row],[goal]]</f>
        <v>0.4768421052631579</v>
      </c>
      <c r="I48" t="s">
        <v>14</v>
      </c>
      <c r="J48">
        <v>48</v>
      </c>
      <c r="K48" s="8">
        <f>IFERROR(Table1[[#This Row],[pledged]]/Table1[[#This Row],[backers_count]],"NA")</f>
        <v>94.375</v>
      </c>
      <c r="L48" t="s">
        <v>21</v>
      </c>
      <c r="M48" t="s">
        <v>22</v>
      </c>
      <c r="N48">
        <v>1478062800</v>
      </c>
      <c r="O48">
        <v>1479362400</v>
      </c>
      <c r="P48" s="11">
        <f>+(((Table1[[#This Row],[launched_at]]/60)/60)/24)+DATE(1970,1,1)</f>
        <v>42676.208333333328</v>
      </c>
      <c r="Q48" s="11">
        <f>+(((Table1[[#This Row],[deadline]]/60)/60)/24)+DATE(1970,1,1)</f>
        <v>42691.25</v>
      </c>
      <c r="R48" t="b">
        <v>0</v>
      </c>
      <c r="S48" t="b">
        <v>1</v>
      </c>
      <c r="T48" t="s">
        <v>33</v>
      </c>
      <c r="U48" t="str">
        <f>+LEFT(Table1[[#This Row],[category &amp; sub-category]],FIND("/",Table1[[#This Row],[category &amp; sub-category]])-1)</f>
        <v>theater</v>
      </c>
      <c r="V48" t="str">
        <f>+RIGHT(Table1[[#This Row],[category &amp; sub-category]],LEN(Table1[[#This Row],[category &amp; sub-category]])-SEARCH("/",Table1[[#This Row],[category &amp; sub-category]]))</f>
        <v>plays</v>
      </c>
    </row>
    <row r="49" spans="2:22" ht="15.75" customHeight="1" x14ac:dyDescent="0.25">
      <c r="B49">
        <v>46</v>
      </c>
      <c r="C49" t="s">
        <v>138</v>
      </c>
      <c r="D49" s="3" t="s">
        <v>139</v>
      </c>
      <c r="E49" s="6">
        <v>3700</v>
      </c>
      <c r="F49" s="6">
        <v>4247</v>
      </c>
      <c r="G49" s="17">
        <f>ROUND(Table1[[#This Row],[pledged]]/Table1[[#This Row],[goal]]*100,2)</f>
        <v>114.78</v>
      </c>
      <c r="H49" s="5">
        <f>+Table1[[#This Row],[pledged]]/Table1[[#This Row],[goal]]</f>
        <v>1.1478378378378378</v>
      </c>
      <c r="I49" t="s">
        <v>20</v>
      </c>
      <c r="J49">
        <v>92</v>
      </c>
      <c r="K49" s="8">
        <f>IFERROR(Table1[[#This Row],[pledged]]/Table1[[#This Row],[backers_count]],"NA")</f>
        <v>46.163043478260867</v>
      </c>
      <c r="L49" t="s">
        <v>21</v>
      </c>
      <c r="M49" t="s">
        <v>22</v>
      </c>
      <c r="N49">
        <v>1278565200</v>
      </c>
      <c r="O49">
        <v>1280552400</v>
      </c>
      <c r="P49" s="11">
        <f>+(((Table1[[#This Row],[launched_at]]/60)/60)/24)+DATE(1970,1,1)</f>
        <v>40367.208333333336</v>
      </c>
      <c r="Q49" s="11">
        <f>+(((Table1[[#This Row],[deadline]]/60)/60)/24)+DATE(1970,1,1)</f>
        <v>40390.208333333336</v>
      </c>
      <c r="R49" t="b">
        <v>0</v>
      </c>
      <c r="S49" t="b">
        <v>0</v>
      </c>
      <c r="T49" t="s">
        <v>23</v>
      </c>
      <c r="U49" t="str">
        <f>+LEFT(Table1[[#This Row],[category &amp; sub-category]],FIND("/",Table1[[#This Row],[category &amp; sub-category]])-1)</f>
        <v>music</v>
      </c>
      <c r="V49" t="str">
        <f>+RIGHT(Table1[[#This Row],[category &amp; sub-category]],LEN(Table1[[#This Row],[category &amp; sub-category]])-SEARCH("/",Table1[[#This Row],[category &amp; sub-category]]))</f>
        <v>rock</v>
      </c>
    </row>
    <row r="50" spans="2:22" ht="15.75" customHeight="1" x14ac:dyDescent="0.25">
      <c r="B50">
        <v>47</v>
      </c>
      <c r="C50" t="s">
        <v>140</v>
      </c>
      <c r="D50" s="3" t="s">
        <v>141</v>
      </c>
      <c r="E50" s="6">
        <v>1500</v>
      </c>
      <c r="F50" s="6">
        <v>7129</v>
      </c>
      <c r="G50" s="17">
        <f>ROUND(Table1[[#This Row],[pledged]]/Table1[[#This Row],[goal]]*100,2)</f>
        <v>475.27</v>
      </c>
      <c r="H50" s="5">
        <f>+Table1[[#This Row],[pledged]]/Table1[[#This Row],[goal]]</f>
        <v>4.7526666666666664</v>
      </c>
      <c r="I50" t="s">
        <v>20</v>
      </c>
      <c r="J50">
        <v>149</v>
      </c>
      <c r="K50" s="8">
        <f>IFERROR(Table1[[#This Row],[pledged]]/Table1[[#This Row],[backers_count]],"NA")</f>
        <v>47.845637583892618</v>
      </c>
      <c r="L50" t="s">
        <v>21</v>
      </c>
      <c r="M50" t="s">
        <v>22</v>
      </c>
      <c r="N50">
        <v>1396069200</v>
      </c>
      <c r="O50">
        <v>1398661200</v>
      </c>
      <c r="P50" s="11">
        <f>+(((Table1[[#This Row],[launched_at]]/60)/60)/24)+DATE(1970,1,1)</f>
        <v>41727.208333333336</v>
      </c>
      <c r="Q50" s="11">
        <f>+(((Table1[[#This Row],[deadline]]/60)/60)/24)+DATE(1970,1,1)</f>
        <v>41757.208333333336</v>
      </c>
      <c r="R50" t="b">
        <v>0</v>
      </c>
      <c r="S50" t="b">
        <v>0</v>
      </c>
      <c r="T50" t="s">
        <v>33</v>
      </c>
      <c r="U50" t="str">
        <f>+LEFT(Table1[[#This Row],[category &amp; sub-category]],FIND("/",Table1[[#This Row],[category &amp; sub-category]])-1)</f>
        <v>theater</v>
      </c>
      <c r="V50" t="str">
        <f>+RIGHT(Table1[[#This Row],[category &amp; sub-category]],LEN(Table1[[#This Row],[category &amp; sub-category]])-SEARCH("/",Table1[[#This Row],[category &amp; sub-category]]))</f>
        <v>plays</v>
      </c>
    </row>
    <row r="51" spans="2:22" ht="15.75" customHeight="1" x14ac:dyDescent="0.25">
      <c r="B51">
        <v>48</v>
      </c>
      <c r="C51" t="s">
        <v>142</v>
      </c>
      <c r="D51" s="3" t="s">
        <v>143</v>
      </c>
      <c r="E51" s="6">
        <v>33300</v>
      </c>
      <c r="F51" s="6">
        <v>128862</v>
      </c>
      <c r="G51" s="17">
        <f>ROUND(Table1[[#This Row],[pledged]]/Table1[[#This Row],[goal]]*100,2)</f>
        <v>386.97</v>
      </c>
      <c r="H51" s="5">
        <f>+Table1[[#This Row],[pledged]]/Table1[[#This Row],[goal]]</f>
        <v>3.86972972972973</v>
      </c>
      <c r="I51" t="s">
        <v>20</v>
      </c>
      <c r="J51">
        <v>2431</v>
      </c>
      <c r="K51" s="8">
        <f>IFERROR(Table1[[#This Row],[pledged]]/Table1[[#This Row],[backers_count]],"NA")</f>
        <v>53.007815713698065</v>
      </c>
      <c r="L51" t="s">
        <v>21</v>
      </c>
      <c r="M51" t="s">
        <v>22</v>
      </c>
      <c r="N51">
        <v>1435208400</v>
      </c>
      <c r="O51">
        <v>1436245200</v>
      </c>
      <c r="P51" s="11">
        <f>+(((Table1[[#This Row],[launched_at]]/60)/60)/24)+DATE(1970,1,1)</f>
        <v>42180.208333333328</v>
      </c>
      <c r="Q51" s="11">
        <f>+(((Table1[[#This Row],[deadline]]/60)/60)/24)+DATE(1970,1,1)</f>
        <v>42192.208333333328</v>
      </c>
      <c r="R51" t="b">
        <v>0</v>
      </c>
      <c r="S51" t="b">
        <v>0</v>
      </c>
      <c r="T51" t="s">
        <v>33</v>
      </c>
      <c r="U51" t="str">
        <f>+LEFT(Table1[[#This Row],[category &amp; sub-category]],FIND("/",Table1[[#This Row],[category &amp; sub-category]])-1)</f>
        <v>theater</v>
      </c>
      <c r="V51" t="str">
        <f>+RIGHT(Table1[[#This Row],[category &amp; sub-category]],LEN(Table1[[#This Row],[category &amp; sub-category]])-SEARCH("/",Table1[[#This Row],[category &amp; sub-category]]))</f>
        <v>plays</v>
      </c>
    </row>
    <row r="52" spans="2:22" ht="15.75" customHeight="1" x14ac:dyDescent="0.25">
      <c r="B52">
        <v>49</v>
      </c>
      <c r="C52" t="s">
        <v>144</v>
      </c>
      <c r="D52" s="3" t="s">
        <v>145</v>
      </c>
      <c r="E52" s="6">
        <v>7200</v>
      </c>
      <c r="F52" s="6">
        <v>13653</v>
      </c>
      <c r="G52" s="17">
        <f>ROUND(Table1[[#This Row],[pledged]]/Table1[[#This Row],[goal]]*100,2)</f>
        <v>189.63</v>
      </c>
      <c r="H52" s="5">
        <f>+Table1[[#This Row],[pledged]]/Table1[[#This Row],[goal]]</f>
        <v>1.89625</v>
      </c>
      <c r="I52" t="s">
        <v>20</v>
      </c>
      <c r="J52">
        <v>303</v>
      </c>
      <c r="K52" s="8">
        <f>IFERROR(Table1[[#This Row],[pledged]]/Table1[[#This Row],[backers_count]],"NA")</f>
        <v>45.059405940594061</v>
      </c>
      <c r="L52" t="s">
        <v>21</v>
      </c>
      <c r="M52" t="s">
        <v>22</v>
      </c>
      <c r="N52">
        <v>1571547600</v>
      </c>
      <c r="O52">
        <v>1575439200</v>
      </c>
      <c r="P52" s="11">
        <f>+(((Table1[[#This Row],[launched_at]]/60)/60)/24)+DATE(1970,1,1)</f>
        <v>43758.208333333328</v>
      </c>
      <c r="Q52" s="11">
        <f>+(((Table1[[#This Row],[deadline]]/60)/60)/24)+DATE(1970,1,1)</f>
        <v>43803.25</v>
      </c>
      <c r="R52" t="b">
        <v>0</v>
      </c>
      <c r="S52" t="b">
        <v>0</v>
      </c>
      <c r="T52" t="s">
        <v>23</v>
      </c>
      <c r="U52" t="str">
        <f>+LEFT(Table1[[#This Row],[category &amp; sub-category]],FIND("/",Table1[[#This Row],[category &amp; sub-category]])-1)</f>
        <v>music</v>
      </c>
      <c r="V52" t="str">
        <f>+RIGHT(Table1[[#This Row],[category &amp; sub-category]],LEN(Table1[[#This Row],[category &amp; sub-category]])-SEARCH("/",Table1[[#This Row],[category &amp; sub-category]]))</f>
        <v>rock</v>
      </c>
    </row>
    <row r="53" spans="2:22" ht="15.75" customHeight="1" x14ac:dyDescent="0.25">
      <c r="B53">
        <v>50</v>
      </c>
      <c r="C53" t="s">
        <v>146</v>
      </c>
      <c r="D53" s="3" t="s">
        <v>147</v>
      </c>
      <c r="E53" s="6">
        <v>100</v>
      </c>
      <c r="F53" s="6">
        <v>2</v>
      </c>
      <c r="G53" s="17">
        <f>ROUND(Table1[[#This Row],[pledged]]/Table1[[#This Row],[goal]]*100,2)</f>
        <v>2</v>
      </c>
      <c r="H53" s="5">
        <f>+Table1[[#This Row],[pledged]]/Table1[[#This Row],[goal]]</f>
        <v>0.02</v>
      </c>
      <c r="I53" t="s">
        <v>14</v>
      </c>
      <c r="J53">
        <v>1</v>
      </c>
      <c r="K53" s="8">
        <f>IFERROR(Table1[[#This Row],[pledged]]/Table1[[#This Row],[backers_count]],"NA")</f>
        <v>2</v>
      </c>
      <c r="L53" t="s">
        <v>107</v>
      </c>
      <c r="M53" t="s">
        <v>108</v>
      </c>
      <c r="N53">
        <v>1375333200</v>
      </c>
      <c r="O53">
        <v>1377752400</v>
      </c>
      <c r="P53" s="11">
        <f>+(((Table1[[#This Row],[launched_at]]/60)/60)/24)+DATE(1970,1,1)</f>
        <v>41487.208333333336</v>
      </c>
      <c r="Q53" s="11">
        <f>+(((Table1[[#This Row],[deadline]]/60)/60)/24)+DATE(1970,1,1)</f>
        <v>41515.208333333336</v>
      </c>
      <c r="R53" t="b">
        <v>0</v>
      </c>
      <c r="S53" t="b">
        <v>0</v>
      </c>
      <c r="T53" t="s">
        <v>148</v>
      </c>
      <c r="U53" t="str">
        <f>+LEFT(Table1[[#This Row],[category &amp; sub-category]],FIND("/",Table1[[#This Row],[category &amp; sub-category]])-1)</f>
        <v>music</v>
      </c>
      <c r="V53" t="str">
        <f>+RIGHT(Table1[[#This Row],[category &amp; sub-category]],LEN(Table1[[#This Row],[category &amp; sub-category]])-SEARCH("/",Table1[[#This Row],[category &amp; sub-category]]))</f>
        <v>metal</v>
      </c>
    </row>
    <row r="54" spans="2:22" ht="15.75" customHeight="1" x14ac:dyDescent="0.25">
      <c r="B54">
        <v>51</v>
      </c>
      <c r="C54" t="s">
        <v>149</v>
      </c>
      <c r="D54" s="3" t="s">
        <v>150</v>
      </c>
      <c r="E54" s="6">
        <v>158100</v>
      </c>
      <c r="F54" s="6">
        <v>145243</v>
      </c>
      <c r="G54" s="17">
        <f>ROUND(Table1[[#This Row],[pledged]]/Table1[[#This Row],[goal]]*100,2)</f>
        <v>91.87</v>
      </c>
      <c r="H54" s="5">
        <f>+Table1[[#This Row],[pledged]]/Table1[[#This Row],[goal]]</f>
        <v>0.91867805186590767</v>
      </c>
      <c r="I54" t="s">
        <v>14</v>
      </c>
      <c r="J54">
        <v>1467</v>
      </c>
      <c r="K54" s="8">
        <f>IFERROR(Table1[[#This Row],[pledged]]/Table1[[#This Row],[backers_count]],"NA")</f>
        <v>99.006816632583508</v>
      </c>
      <c r="L54" t="s">
        <v>40</v>
      </c>
      <c r="M54" t="s">
        <v>41</v>
      </c>
      <c r="N54">
        <v>1332824400</v>
      </c>
      <c r="O54">
        <v>1334206800</v>
      </c>
      <c r="P54" s="11">
        <f>+(((Table1[[#This Row],[launched_at]]/60)/60)/24)+DATE(1970,1,1)</f>
        <v>40995.208333333336</v>
      </c>
      <c r="Q54" s="11">
        <f>+(((Table1[[#This Row],[deadline]]/60)/60)/24)+DATE(1970,1,1)</f>
        <v>41011.208333333336</v>
      </c>
      <c r="R54" t="b">
        <v>0</v>
      </c>
      <c r="S54" t="b">
        <v>1</v>
      </c>
      <c r="T54" t="s">
        <v>65</v>
      </c>
      <c r="U54" t="str">
        <f>+LEFT(Table1[[#This Row],[category &amp; sub-category]],FIND("/",Table1[[#This Row],[category &amp; sub-category]])-1)</f>
        <v>technology</v>
      </c>
      <c r="V54" t="str">
        <f>+RIGHT(Table1[[#This Row],[category &amp; sub-category]],LEN(Table1[[#This Row],[category &amp; sub-category]])-SEARCH("/",Table1[[#This Row],[category &amp; sub-category]]))</f>
        <v>wearables</v>
      </c>
    </row>
    <row r="55" spans="2:22" ht="15.75" customHeight="1" x14ac:dyDescent="0.25">
      <c r="B55">
        <v>52</v>
      </c>
      <c r="C55" t="s">
        <v>151</v>
      </c>
      <c r="D55" s="3" t="s">
        <v>152</v>
      </c>
      <c r="E55" s="6">
        <v>7200</v>
      </c>
      <c r="F55" s="6">
        <v>2459</v>
      </c>
      <c r="G55" s="17">
        <f>ROUND(Table1[[#This Row],[pledged]]/Table1[[#This Row],[goal]]*100,2)</f>
        <v>34.15</v>
      </c>
      <c r="H55" s="5">
        <f>+Table1[[#This Row],[pledged]]/Table1[[#This Row],[goal]]</f>
        <v>0.34152777777777776</v>
      </c>
      <c r="I55" t="s">
        <v>14</v>
      </c>
      <c r="J55">
        <v>75</v>
      </c>
      <c r="K55" s="8">
        <f>IFERROR(Table1[[#This Row],[pledged]]/Table1[[#This Row],[backers_count]],"NA")</f>
        <v>32.786666666666669</v>
      </c>
      <c r="L55" t="s">
        <v>21</v>
      </c>
      <c r="M55" t="s">
        <v>22</v>
      </c>
      <c r="N55">
        <v>1284526800</v>
      </c>
      <c r="O55">
        <v>1284872400</v>
      </c>
      <c r="P55" s="11">
        <f>+(((Table1[[#This Row],[launched_at]]/60)/60)/24)+DATE(1970,1,1)</f>
        <v>40436.208333333336</v>
      </c>
      <c r="Q55" s="11">
        <f>+(((Table1[[#This Row],[deadline]]/60)/60)/24)+DATE(1970,1,1)</f>
        <v>40440.208333333336</v>
      </c>
      <c r="R55" t="b">
        <v>0</v>
      </c>
      <c r="S55" t="b">
        <v>0</v>
      </c>
      <c r="T55" t="s">
        <v>33</v>
      </c>
      <c r="U55" t="str">
        <f>+LEFT(Table1[[#This Row],[category &amp; sub-category]],FIND("/",Table1[[#This Row],[category &amp; sub-category]])-1)</f>
        <v>theater</v>
      </c>
      <c r="V55" t="str">
        <f>+RIGHT(Table1[[#This Row],[category &amp; sub-category]],LEN(Table1[[#This Row],[category &amp; sub-category]])-SEARCH("/",Table1[[#This Row],[category &amp; sub-category]]))</f>
        <v>plays</v>
      </c>
    </row>
    <row r="56" spans="2:22" ht="15.75" customHeight="1" x14ac:dyDescent="0.25">
      <c r="B56">
        <v>53</v>
      </c>
      <c r="C56" t="s">
        <v>153</v>
      </c>
      <c r="D56" s="3" t="s">
        <v>154</v>
      </c>
      <c r="E56" s="6">
        <v>8800</v>
      </c>
      <c r="F56" s="6">
        <v>12356</v>
      </c>
      <c r="G56" s="17">
        <f>ROUND(Table1[[#This Row],[pledged]]/Table1[[#This Row],[goal]]*100,2)</f>
        <v>140.41</v>
      </c>
      <c r="H56" s="5">
        <f>+Table1[[#This Row],[pledged]]/Table1[[#This Row],[goal]]</f>
        <v>1.4040909090909091</v>
      </c>
      <c r="I56" t="s">
        <v>20</v>
      </c>
      <c r="J56">
        <v>209</v>
      </c>
      <c r="K56" s="8">
        <f>IFERROR(Table1[[#This Row],[pledged]]/Table1[[#This Row],[backers_count]],"NA")</f>
        <v>59.119617224880386</v>
      </c>
      <c r="L56" t="s">
        <v>21</v>
      </c>
      <c r="M56" t="s">
        <v>22</v>
      </c>
      <c r="N56">
        <v>1400562000</v>
      </c>
      <c r="O56">
        <v>1403931600</v>
      </c>
      <c r="P56" s="11">
        <f>+(((Table1[[#This Row],[launched_at]]/60)/60)/24)+DATE(1970,1,1)</f>
        <v>41779.208333333336</v>
      </c>
      <c r="Q56" s="11">
        <f>+(((Table1[[#This Row],[deadline]]/60)/60)/24)+DATE(1970,1,1)</f>
        <v>41818.208333333336</v>
      </c>
      <c r="R56" t="b">
        <v>0</v>
      </c>
      <c r="S56" t="b">
        <v>0</v>
      </c>
      <c r="T56" t="s">
        <v>53</v>
      </c>
      <c r="U56" t="str">
        <f>+LEFT(Table1[[#This Row],[category &amp; sub-category]],FIND("/",Table1[[#This Row],[category &amp; sub-category]])-1)</f>
        <v>film &amp; video</v>
      </c>
      <c r="V56" t="str">
        <f>+RIGHT(Table1[[#This Row],[category &amp; sub-category]],LEN(Table1[[#This Row],[category &amp; sub-category]])-SEARCH("/",Table1[[#This Row],[category &amp; sub-category]]))</f>
        <v>drama</v>
      </c>
    </row>
    <row r="57" spans="2:22" ht="15.75" customHeight="1" x14ac:dyDescent="0.25">
      <c r="B57">
        <v>54</v>
      </c>
      <c r="C57" t="s">
        <v>155</v>
      </c>
      <c r="D57" s="3" t="s">
        <v>156</v>
      </c>
      <c r="E57" s="6">
        <v>6000</v>
      </c>
      <c r="F57" s="6">
        <v>5392</v>
      </c>
      <c r="G57" s="17">
        <f>ROUND(Table1[[#This Row],[pledged]]/Table1[[#This Row],[goal]]*100,2)</f>
        <v>89.87</v>
      </c>
      <c r="H57" s="5">
        <f>+Table1[[#This Row],[pledged]]/Table1[[#This Row],[goal]]</f>
        <v>0.89866666666666661</v>
      </c>
      <c r="I57" t="s">
        <v>14</v>
      </c>
      <c r="J57">
        <v>120</v>
      </c>
      <c r="K57" s="8">
        <f>IFERROR(Table1[[#This Row],[pledged]]/Table1[[#This Row],[backers_count]],"NA")</f>
        <v>44.93333333333333</v>
      </c>
      <c r="L57" t="s">
        <v>21</v>
      </c>
      <c r="M57" t="s">
        <v>22</v>
      </c>
      <c r="N57">
        <v>1520748000</v>
      </c>
      <c r="O57">
        <v>1521262800</v>
      </c>
      <c r="P57" s="11">
        <f>+(((Table1[[#This Row],[launched_at]]/60)/60)/24)+DATE(1970,1,1)</f>
        <v>43170.25</v>
      </c>
      <c r="Q57" s="11">
        <f>+(((Table1[[#This Row],[deadline]]/60)/60)/24)+DATE(1970,1,1)</f>
        <v>43176.208333333328</v>
      </c>
      <c r="R57" t="b">
        <v>0</v>
      </c>
      <c r="S57" t="b">
        <v>0</v>
      </c>
      <c r="T57" t="s">
        <v>65</v>
      </c>
      <c r="U57" t="str">
        <f>+LEFT(Table1[[#This Row],[category &amp; sub-category]],FIND("/",Table1[[#This Row],[category &amp; sub-category]])-1)</f>
        <v>technology</v>
      </c>
      <c r="V57" t="str">
        <f>+RIGHT(Table1[[#This Row],[category &amp; sub-category]],LEN(Table1[[#This Row],[category &amp; sub-category]])-SEARCH("/",Table1[[#This Row],[category &amp; sub-category]]))</f>
        <v>wearables</v>
      </c>
    </row>
    <row r="58" spans="2:22" ht="15.75" customHeight="1" x14ac:dyDescent="0.25">
      <c r="B58">
        <v>55</v>
      </c>
      <c r="C58" t="s">
        <v>157</v>
      </c>
      <c r="D58" s="3" t="s">
        <v>158</v>
      </c>
      <c r="E58" s="6">
        <v>6600</v>
      </c>
      <c r="F58" s="6">
        <v>11746</v>
      </c>
      <c r="G58" s="17">
        <f>ROUND(Table1[[#This Row],[pledged]]/Table1[[#This Row],[goal]]*100,2)</f>
        <v>177.97</v>
      </c>
      <c r="H58" s="5">
        <f>+Table1[[#This Row],[pledged]]/Table1[[#This Row],[goal]]</f>
        <v>1.7796969696969698</v>
      </c>
      <c r="I58" t="s">
        <v>20</v>
      </c>
      <c r="J58">
        <v>131</v>
      </c>
      <c r="K58" s="8">
        <f>IFERROR(Table1[[#This Row],[pledged]]/Table1[[#This Row],[backers_count]],"NA")</f>
        <v>89.664122137404576</v>
      </c>
      <c r="L58" t="s">
        <v>21</v>
      </c>
      <c r="M58" t="s">
        <v>22</v>
      </c>
      <c r="N58">
        <v>1532926800</v>
      </c>
      <c r="O58">
        <v>1533358800</v>
      </c>
      <c r="P58" s="11">
        <f>+(((Table1[[#This Row],[launched_at]]/60)/60)/24)+DATE(1970,1,1)</f>
        <v>43311.208333333328</v>
      </c>
      <c r="Q58" s="11">
        <f>+(((Table1[[#This Row],[deadline]]/60)/60)/24)+DATE(1970,1,1)</f>
        <v>43316.208333333328</v>
      </c>
      <c r="R58" t="b">
        <v>0</v>
      </c>
      <c r="S58" t="b">
        <v>0</v>
      </c>
      <c r="T58" t="s">
        <v>159</v>
      </c>
      <c r="U58" t="str">
        <f>+LEFT(Table1[[#This Row],[category &amp; sub-category]],FIND("/",Table1[[#This Row],[category &amp; sub-category]])-1)</f>
        <v>music</v>
      </c>
      <c r="V58" t="str">
        <f>+RIGHT(Table1[[#This Row],[category &amp; sub-category]],LEN(Table1[[#This Row],[category &amp; sub-category]])-SEARCH("/",Table1[[#This Row],[category &amp; sub-category]]))</f>
        <v>jazz</v>
      </c>
    </row>
    <row r="59" spans="2:22" ht="15.75" customHeight="1" x14ac:dyDescent="0.25">
      <c r="B59">
        <v>56</v>
      </c>
      <c r="C59" t="s">
        <v>160</v>
      </c>
      <c r="D59" s="3" t="s">
        <v>161</v>
      </c>
      <c r="E59" s="6">
        <v>8000</v>
      </c>
      <c r="F59" s="6">
        <v>11493</v>
      </c>
      <c r="G59" s="17">
        <f>ROUND(Table1[[#This Row],[pledged]]/Table1[[#This Row],[goal]]*100,2)</f>
        <v>143.66</v>
      </c>
      <c r="H59" s="5">
        <f>+Table1[[#This Row],[pledged]]/Table1[[#This Row],[goal]]</f>
        <v>1.436625</v>
      </c>
      <c r="I59" t="s">
        <v>20</v>
      </c>
      <c r="J59">
        <v>164</v>
      </c>
      <c r="K59" s="8">
        <f>IFERROR(Table1[[#This Row],[pledged]]/Table1[[#This Row],[backers_count]],"NA")</f>
        <v>70.079268292682926</v>
      </c>
      <c r="L59" t="s">
        <v>21</v>
      </c>
      <c r="M59" t="s">
        <v>22</v>
      </c>
      <c r="N59">
        <v>1420869600</v>
      </c>
      <c r="O59">
        <v>1421474400</v>
      </c>
      <c r="P59" s="11">
        <f>+(((Table1[[#This Row],[launched_at]]/60)/60)/24)+DATE(1970,1,1)</f>
        <v>42014.25</v>
      </c>
      <c r="Q59" s="11">
        <f>+(((Table1[[#This Row],[deadline]]/60)/60)/24)+DATE(1970,1,1)</f>
        <v>42021.25</v>
      </c>
      <c r="R59" t="b">
        <v>0</v>
      </c>
      <c r="S59" t="b">
        <v>0</v>
      </c>
      <c r="T59" t="s">
        <v>65</v>
      </c>
      <c r="U59" t="str">
        <f>+LEFT(Table1[[#This Row],[category &amp; sub-category]],FIND("/",Table1[[#This Row],[category &amp; sub-category]])-1)</f>
        <v>technology</v>
      </c>
      <c r="V59" t="str">
        <f>+RIGHT(Table1[[#This Row],[category &amp; sub-category]],LEN(Table1[[#This Row],[category &amp; sub-category]])-SEARCH("/",Table1[[#This Row],[category &amp; sub-category]]))</f>
        <v>wearables</v>
      </c>
    </row>
    <row r="60" spans="2:22" ht="15.75" customHeight="1" x14ac:dyDescent="0.25">
      <c r="B60">
        <v>57</v>
      </c>
      <c r="C60" t="s">
        <v>162</v>
      </c>
      <c r="D60" s="3" t="s">
        <v>163</v>
      </c>
      <c r="E60" s="6">
        <v>2900</v>
      </c>
      <c r="F60" s="6">
        <v>6243</v>
      </c>
      <c r="G60" s="17">
        <f>ROUND(Table1[[#This Row],[pledged]]/Table1[[#This Row],[goal]]*100,2)</f>
        <v>215.28</v>
      </c>
      <c r="H60" s="5">
        <f>+Table1[[#This Row],[pledged]]/Table1[[#This Row],[goal]]</f>
        <v>2.1527586206896552</v>
      </c>
      <c r="I60" t="s">
        <v>20</v>
      </c>
      <c r="J60">
        <v>201</v>
      </c>
      <c r="K60" s="8">
        <f>IFERROR(Table1[[#This Row],[pledged]]/Table1[[#This Row],[backers_count]],"NA")</f>
        <v>31.059701492537314</v>
      </c>
      <c r="L60" t="s">
        <v>21</v>
      </c>
      <c r="M60" t="s">
        <v>22</v>
      </c>
      <c r="N60">
        <v>1504242000</v>
      </c>
      <c r="O60">
        <v>1505278800</v>
      </c>
      <c r="P60" s="11">
        <f>+(((Table1[[#This Row],[launched_at]]/60)/60)/24)+DATE(1970,1,1)</f>
        <v>42979.208333333328</v>
      </c>
      <c r="Q60" s="11">
        <f>+(((Table1[[#This Row],[deadline]]/60)/60)/24)+DATE(1970,1,1)</f>
        <v>42991.208333333328</v>
      </c>
      <c r="R60" t="b">
        <v>0</v>
      </c>
      <c r="S60" t="b">
        <v>0</v>
      </c>
      <c r="T60" t="s">
        <v>89</v>
      </c>
      <c r="U60" t="str">
        <f>+LEFT(Table1[[#This Row],[category &amp; sub-category]],FIND("/",Table1[[#This Row],[category &amp; sub-category]])-1)</f>
        <v>games</v>
      </c>
      <c r="V60" t="str">
        <f>+RIGHT(Table1[[#This Row],[category &amp; sub-category]],LEN(Table1[[#This Row],[category &amp; sub-category]])-SEARCH("/",Table1[[#This Row],[category &amp; sub-category]]))</f>
        <v>video games</v>
      </c>
    </row>
    <row r="61" spans="2:22" ht="15.75" customHeight="1" x14ac:dyDescent="0.25">
      <c r="B61">
        <v>58</v>
      </c>
      <c r="C61" t="s">
        <v>164</v>
      </c>
      <c r="D61" s="3" t="s">
        <v>165</v>
      </c>
      <c r="E61" s="6">
        <v>2700</v>
      </c>
      <c r="F61" s="6">
        <v>6132</v>
      </c>
      <c r="G61" s="17">
        <f>ROUND(Table1[[#This Row],[pledged]]/Table1[[#This Row],[goal]]*100,2)</f>
        <v>227.11</v>
      </c>
      <c r="H61" s="5">
        <f>+Table1[[#This Row],[pledged]]/Table1[[#This Row],[goal]]</f>
        <v>2.2711111111111113</v>
      </c>
      <c r="I61" t="s">
        <v>20</v>
      </c>
      <c r="J61">
        <v>211</v>
      </c>
      <c r="K61" s="8">
        <f>IFERROR(Table1[[#This Row],[pledged]]/Table1[[#This Row],[backers_count]],"NA")</f>
        <v>29.061611374407583</v>
      </c>
      <c r="L61" t="s">
        <v>21</v>
      </c>
      <c r="M61" t="s">
        <v>22</v>
      </c>
      <c r="N61">
        <v>1442811600</v>
      </c>
      <c r="O61">
        <v>1443934800</v>
      </c>
      <c r="P61" s="11">
        <f>+(((Table1[[#This Row],[launched_at]]/60)/60)/24)+DATE(1970,1,1)</f>
        <v>42268.208333333328</v>
      </c>
      <c r="Q61" s="11">
        <f>+(((Table1[[#This Row],[deadline]]/60)/60)/24)+DATE(1970,1,1)</f>
        <v>42281.208333333328</v>
      </c>
      <c r="R61" t="b">
        <v>0</v>
      </c>
      <c r="S61" t="b">
        <v>0</v>
      </c>
      <c r="T61" t="s">
        <v>33</v>
      </c>
      <c r="U61" t="str">
        <f>+LEFT(Table1[[#This Row],[category &amp; sub-category]],FIND("/",Table1[[#This Row],[category &amp; sub-category]])-1)</f>
        <v>theater</v>
      </c>
      <c r="V61" t="str">
        <f>+RIGHT(Table1[[#This Row],[category &amp; sub-category]],LEN(Table1[[#This Row],[category &amp; sub-category]])-SEARCH("/",Table1[[#This Row],[category &amp; sub-category]]))</f>
        <v>plays</v>
      </c>
    </row>
    <row r="62" spans="2:22" ht="15.75" customHeight="1" x14ac:dyDescent="0.25">
      <c r="B62">
        <v>59</v>
      </c>
      <c r="C62" t="s">
        <v>166</v>
      </c>
      <c r="D62" s="3" t="s">
        <v>167</v>
      </c>
      <c r="E62" s="6">
        <v>1400</v>
      </c>
      <c r="F62" s="6">
        <v>3851</v>
      </c>
      <c r="G62" s="17">
        <f>ROUND(Table1[[#This Row],[pledged]]/Table1[[#This Row],[goal]]*100,2)</f>
        <v>275.07</v>
      </c>
      <c r="H62" s="5">
        <f>+Table1[[#This Row],[pledged]]/Table1[[#This Row],[goal]]</f>
        <v>2.7507142857142859</v>
      </c>
      <c r="I62" t="s">
        <v>20</v>
      </c>
      <c r="J62">
        <v>128</v>
      </c>
      <c r="K62" s="8">
        <f>IFERROR(Table1[[#This Row],[pledged]]/Table1[[#This Row],[backers_count]],"NA")</f>
        <v>30.0859375</v>
      </c>
      <c r="L62" t="s">
        <v>21</v>
      </c>
      <c r="M62" t="s">
        <v>22</v>
      </c>
      <c r="N62">
        <v>1497243600</v>
      </c>
      <c r="O62">
        <v>1498539600</v>
      </c>
      <c r="P62" s="11">
        <f>+(((Table1[[#This Row],[launched_at]]/60)/60)/24)+DATE(1970,1,1)</f>
        <v>42898.208333333328</v>
      </c>
      <c r="Q62" s="11">
        <f>+(((Table1[[#This Row],[deadline]]/60)/60)/24)+DATE(1970,1,1)</f>
        <v>42913.208333333328</v>
      </c>
      <c r="R62" t="b">
        <v>0</v>
      </c>
      <c r="S62" t="b">
        <v>1</v>
      </c>
      <c r="T62" t="s">
        <v>33</v>
      </c>
      <c r="U62" t="str">
        <f>+LEFT(Table1[[#This Row],[category &amp; sub-category]],FIND("/",Table1[[#This Row],[category &amp; sub-category]])-1)</f>
        <v>theater</v>
      </c>
      <c r="V62" t="str">
        <f>+RIGHT(Table1[[#This Row],[category &amp; sub-category]],LEN(Table1[[#This Row],[category &amp; sub-category]])-SEARCH("/",Table1[[#This Row],[category &amp; sub-category]]))</f>
        <v>plays</v>
      </c>
    </row>
    <row r="63" spans="2:22" ht="15.75" customHeight="1" x14ac:dyDescent="0.25">
      <c r="B63">
        <v>60</v>
      </c>
      <c r="C63" t="s">
        <v>168</v>
      </c>
      <c r="D63" s="3" t="s">
        <v>169</v>
      </c>
      <c r="E63" s="6">
        <v>94200</v>
      </c>
      <c r="F63" s="6">
        <v>135997</v>
      </c>
      <c r="G63" s="17">
        <f>ROUND(Table1[[#This Row],[pledged]]/Table1[[#This Row],[goal]]*100,2)</f>
        <v>144.37</v>
      </c>
      <c r="H63" s="5">
        <f>+Table1[[#This Row],[pledged]]/Table1[[#This Row],[goal]]</f>
        <v>1.4437048832271762</v>
      </c>
      <c r="I63" t="s">
        <v>20</v>
      </c>
      <c r="J63">
        <v>1600</v>
      </c>
      <c r="K63" s="8">
        <f>IFERROR(Table1[[#This Row],[pledged]]/Table1[[#This Row],[backers_count]],"NA")</f>
        <v>84.998125000000002</v>
      </c>
      <c r="L63" t="s">
        <v>15</v>
      </c>
      <c r="M63" t="s">
        <v>16</v>
      </c>
      <c r="N63">
        <v>1342501200</v>
      </c>
      <c r="O63">
        <v>1342760400</v>
      </c>
      <c r="P63" s="11">
        <f>+(((Table1[[#This Row],[launched_at]]/60)/60)/24)+DATE(1970,1,1)</f>
        <v>41107.208333333336</v>
      </c>
      <c r="Q63" s="11">
        <f>+(((Table1[[#This Row],[deadline]]/60)/60)/24)+DATE(1970,1,1)</f>
        <v>41110.208333333336</v>
      </c>
      <c r="R63" t="b">
        <v>0</v>
      </c>
      <c r="S63" t="b">
        <v>0</v>
      </c>
      <c r="T63" t="s">
        <v>33</v>
      </c>
      <c r="U63" t="str">
        <f>+LEFT(Table1[[#This Row],[category &amp; sub-category]],FIND("/",Table1[[#This Row],[category &amp; sub-category]])-1)</f>
        <v>theater</v>
      </c>
      <c r="V63" t="str">
        <f>+RIGHT(Table1[[#This Row],[category &amp; sub-category]],LEN(Table1[[#This Row],[category &amp; sub-category]])-SEARCH("/",Table1[[#This Row],[category &amp; sub-category]]))</f>
        <v>plays</v>
      </c>
    </row>
    <row r="64" spans="2:22" ht="15.75" customHeight="1" x14ac:dyDescent="0.25">
      <c r="B64">
        <v>61</v>
      </c>
      <c r="C64" t="s">
        <v>170</v>
      </c>
      <c r="D64" s="3" t="s">
        <v>171</v>
      </c>
      <c r="E64" s="6">
        <v>199200</v>
      </c>
      <c r="F64" s="6">
        <v>184750</v>
      </c>
      <c r="G64" s="17">
        <f>ROUND(Table1[[#This Row],[pledged]]/Table1[[#This Row],[goal]]*100,2)</f>
        <v>92.75</v>
      </c>
      <c r="H64" s="5">
        <f>+Table1[[#This Row],[pledged]]/Table1[[#This Row],[goal]]</f>
        <v>0.92745983935742971</v>
      </c>
      <c r="I64" t="s">
        <v>14</v>
      </c>
      <c r="J64">
        <v>2253</v>
      </c>
      <c r="K64" s="8">
        <f>IFERROR(Table1[[#This Row],[pledged]]/Table1[[#This Row],[backers_count]],"NA")</f>
        <v>82.001775410563695</v>
      </c>
      <c r="L64" t="s">
        <v>15</v>
      </c>
      <c r="M64" t="s">
        <v>16</v>
      </c>
      <c r="N64">
        <v>1298268000</v>
      </c>
      <c r="O64">
        <v>1301720400</v>
      </c>
      <c r="P64" s="11">
        <f>+(((Table1[[#This Row],[launched_at]]/60)/60)/24)+DATE(1970,1,1)</f>
        <v>40595.25</v>
      </c>
      <c r="Q64" s="11">
        <f>+(((Table1[[#This Row],[deadline]]/60)/60)/24)+DATE(1970,1,1)</f>
        <v>40635.208333333336</v>
      </c>
      <c r="R64" t="b">
        <v>0</v>
      </c>
      <c r="S64" t="b">
        <v>0</v>
      </c>
      <c r="T64" t="s">
        <v>33</v>
      </c>
      <c r="U64" t="str">
        <f>+LEFT(Table1[[#This Row],[category &amp; sub-category]],FIND("/",Table1[[#This Row],[category &amp; sub-category]])-1)</f>
        <v>theater</v>
      </c>
      <c r="V64" t="str">
        <f>+RIGHT(Table1[[#This Row],[category &amp; sub-category]],LEN(Table1[[#This Row],[category &amp; sub-category]])-SEARCH("/",Table1[[#This Row],[category &amp; sub-category]]))</f>
        <v>plays</v>
      </c>
    </row>
    <row r="65" spans="2:22" ht="15.75" customHeight="1" x14ac:dyDescent="0.25">
      <c r="B65">
        <v>62</v>
      </c>
      <c r="C65" t="s">
        <v>172</v>
      </c>
      <c r="D65" s="3" t="s">
        <v>173</v>
      </c>
      <c r="E65" s="6">
        <v>2000</v>
      </c>
      <c r="F65" s="6">
        <v>14452</v>
      </c>
      <c r="G65" s="17">
        <f>ROUND(Table1[[#This Row],[pledged]]/Table1[[#This Row],[goal]]*100,2)</f>
        <v>722.6</v>
      </c>
      <c r="H65" s="5">
        <f>+Table1[[#This Row],[pledged]]/Table1[[#This Row],[goal]]</f>
        <v>7.226</v>
      </c>
      <c r="I65" t="s">
        <v>20</v>
      </c>
      <c r="J65">
        <v>249</v>
      </c>
      <c r="K65" s="8">
        <f>IFERROR(Table1[[#This Row],[pledged]]/Table1[[#This Row],[backers_count]],"NA")</f>
        <v>58.040160642570278</v>
      </c>
      <c r="L65" t="s">
        <v>21</v>
      </c>
      <c r="M65" t="s">
        <v>22</v>
      </c>
      <c r="N65">
        <v>1433480400</v>
      </c>
      <c r="O65">
        <v>1433566800</v>
      </c>
      <c r="P65" s="11">
        <f>+(((Table1[[#This Row],[launched_at]]/60)/60)/24)+DATE(1970,1,1)</f>
        <v>42160.208333333328</v>
      </c>
      <c r="Q65" s="11">
        <f>+(((Table1[[#This Row],[deadline]]/60)/60)/24)+DATE(1970,1,1)</f>
        <v>42161.208333333328</v>
      </c>
      <c r="R65" t="b">
        <v>0</v>
      </c>
      <c r="S65" t="b">
        <v>0</v>
      </c>
      <c r="T65" t="s">
        <v>28</v>
      </c>
      <c r="U65" t="str">
        <f>+LEFT(Table1[[#This Row],[category &amp; sub-category]],FIND("/",Table1[[#This Row],[category &amp; sub-category]])-1)</f>
        <v>technology</v>
      </c>
      <c r="V65" t="str">
        <f>+RIGHT(Table1[[#This Row],[category &amp; sub-category]],LEN(Table1[[#This Row],[category &amp; sub-category]])-SEARCH("/",Table1[[#This Row],[category &amp; sub-category]]))</f>
        <v>web</v>
      </c>
    </row>
    <row r="66" spans="2:22" ht="15.75" customHeight="1" x14ac:dyDescent="0.25">
      <c r="B66">
        <v>63</v>
      </c>
      <c r="C66" t="s">
        <v>174</v>
      </c>
      <c r="D66" s="3" t="s">
        <v>175</v>
      </c>
      <c r="E66" s="6">
        <v>4700</v>
      </c>
      <c r="F66" s="6">
        <v>557</v>
      </c>
      <c r="G66" s="17">
        <f>ROUND(Table1[[#This Row],[pledged]]/Table1[[#This Row],[goal]]*100,2)</f>
        <v>11.85</v>
      </c>
      <c r="H66" s="5">
        <f>+Table1[[#This Row],[pledged]]/Table1[[#This Row],[goal]]</f>
        <v>0.11851063829787234</v>
      </c>
      <c r="I66" t="s">
        <v>14</v>
      </c>
      <c r="J66">
        <v>5</v>
      </c>
      <c r="K66" s="8">
        <f>IFERROR(Table1[[#This Row],[pledged]]/Table1[[#This Row],[backers_count]],"NA")</f>
        <v>111.4</v>
      </c>
      <c r="L66" t="s">
        <v>21</v>
      </c>
      <c r="M66" t="s">
        <v>22</v>
      </c>
      <c r="N66">
        <v>1493355600</v>
      </c>
      <c r="O66">
        <v>1493874000</v>
      </c>
      <c r="P66" s="11">
        <f>+(((Table1[[#This Row],[launched_at]]/60)/60)/24)+DATE(1970,1,1)</f>
        <v>42853.208333333328</v>
      </c>
      <c r="Q66" s="11">
        <f>+(((Table1[[#This Row],[deadline]]/60)/60)/24)+DATE(1970,1,1)</f>
        <v>42859.208333333328</v>
      </c>
      <c r="R66" t="b">
        <v>0</v>
      </c>
      <c r="S66" t="b">
        <v>0</v>
      </c>
      <c r="T66" t="s">
        <v>33</v>
      </c>
      <c r="U66" t="str">
        <f>+LEFT(Table1[[#This Row],[category &amp; sub-category]],FIND("/",Table1[[#This Row],[category &amp; sub-category]])-1)</f>
        <v>theater</v>
      </c>
      <c r="V66" t="str">
        <f>+RIGHT(Table1[[#This Row],[category &amp; sub-category]],LEN(Table1[[#This Row],[category &amp; sub-category]])-SEARCH("/",Table1[[#This Row],[category &amp; sub-category]]))</f>
        <v>plays</v>
      </c>
    </row>
    <row r="67" spans="2:22" ht="15.75" customHeight="1" x14ac:dyDescent="0.25">
      <c r="B67">
        <v>64</v>
      </c>
      <c r="C67" t="s">
        <v>176</v>
      </c>
      <c r="D67" s="3" t="s">
        <v>177</v>
      </c>
      <c r="E67" s="6">
        <v>2800</v>
      </c>
      <c r="F67" s="6">
        <v>2734</v>
      </c>
      <c r="G67" s="17">
        <f>ROUND(Table1[[#This Row],[pledged]]/Table1[[#This Row],[goal]]*100,2)</f>
        <v>97.64</v>
      </c>
      <c r="H67" s="5">
        <f>+Table1[[#This Row],[pledged]]/Table1[[#This Row],[goal]]</f>
        <v>0.97642857142857142</v>
      </c>
      <c r="I67" t="s">
        <v>14</v>
      </c>
      <c r="J67">
        <v>38</v>
      </c>
      <c r="K67" s="8">
        <f>IFERROR(Table1[[#This Row],[pledged]]/Table1[[#This Row],[backers_count]],"NA")</f>
        <v>71.94736842105263</v>
      </c>
      <c r="L67" t="s">
        <v>21</v>
      </c>
      <c r="M67" t="s">
        <v>22</v>
      </c>
      <c r="N67">
        <v>1530507600</v>
      </c>
      <c r="O67">
        <v>1531803600</v>
      </c>
      <c r="P67" s="11">
        <f>+(((Table1[[#This Row],[launched_at]]/60)/60)/24)+DATE(1970,1,1)</f>
        <v>43283.208333333328</v>
      </c>
      <c r="Q67" s="11">
        <f>+(((Table1[[#This Row],[deadline]]/60)/60)/24)+DATE(1970,1,1)</f>
        <v>43298.208333333328</v>
      </c>
      <c r="R67" t="b">
        <v>0</v>
      </c>
      <c r="S67" t="b">
        <v>1</v>
      </c>
      <c r="T67" t="s">
        <v>28</v>
      </c>
      <c r="U67" t="str">
        <f>+LEFT(Table1[[#This Row],[category &amp; sub-category]],FIND("/",Table1[[#This Row],[category &amp; sub-category]])-1)</f>
        <v>technology</v>
      </c>
      <c r="V67" t="str">
        <f>+RIGHT(Table1[[#This Row],[category &amp; sub-category]],LEN(Table1[[#This Row],[category &amp; sub-category]])-SEARCH("/",Table1[[#This Row],[category &amp; sub-category]]))</f>
        <v>web</v>
      </c>
    </row>
    <row r="68" spans="2:22" ht="15.75" customHeight="1" x14ac:dyDescent="0.25">
      <c r="B68">
        <v>65</v>
      </c>
      <c r="C68" t="s">
        <v>178</v>
      </c>
      <c r="D68" s="3" t="s">
        <v>179</v>
      </c>
      <c r="E68" s="6">
        <v>6100</v>
      </c>
      <c r="F68" s="6">
        <v>14405</v>
      </c>
      <c r="G68" s="17">
        <f>ROUND(Table1[[#This Row],[pledged]]/Table1[[#This Row],[goal]]*100,2)</f>
        <v>236.15</v>
      </c>
      <c r="H68" s="5">
        <f>+Table1[[#This Row],[pledged]]/Table1[[#This Row],[goal]]</f>
        <v>2.3614754098360655</v>
      </c>
      <c r="I68" t="s">
        <v>20</v>
      </c>
      <c r="J68">
        <v>236</v>
      </c>
      <c r="K68" s="8">
        <f>IFERROR(Table1[[#This Row],[pledged]]/Table1[[#This Row],[backers_count]],"NA")</f>
        <v>61.038135593220339</v>
      </c>
      <c r="L68" t="s">
        <v>21</v>
      </c>
      <c r="M68" t="s">
        <v>22</v>
      </c>
      <c r="N68">
        <v>1296108000</v>
      </c>
      <c r="O68">
        <v>1296712800</v>
      </c>
      <c r="P68" s="11">
        <f>+(((Table1[[#This Row],[launched_at]]/60)/60)/24)+DATE(1970,1,1)</f>
        <v>40570.25</v>
      </c>
      <c r="Q68" s="11">
        <f>+(((Table1[[#This Row],[deadline]]/60)/60)/24)+DATE(1970,1,1)</f>
        <v>40577.25</v>
      </c>
      <c r="R68" t="b">
        <v>0</v>
      </c>
      <c r="S68" t="b">
        <v>0</v>
      </c>
      <c r="T68" t="s">
        <v>33</v>
      </c>
      <c r="U68" t="str">
        <f>+LEFT(Table1[[#This Row],[category &amp; sub-category]],FIND("/",Table1[[#This Row],[category &amp; sub-category]])-1)</f>
        <v>theater</v>
      </c>
      <c r="V68" t="str">
        <f>+RIGHT(Table1[[#This Row],[category &amp; sub-category]],LEN(Table1[[#This Row],[category &amp; sub-category]])-SEARCH("/",Table1[[#This Row],[category &amp; sub-category]]))</f>
        <v>plays</v>
      </c>
    </row>
    <row r="69" spans="2:22" ht="15.75" customHeight="1" x14ac:dyDescent="0.25">
      <c r="B69">
        <v>66</v>
      </c>
      <c r="C69" t="s">
        <v>180</v>
      </c>
      <c r="D69" s="3" t="s">
        <v>181</v>
      </c>
      <c r="E69" s="6">
        <v>2900</v>
      </c>
      <c r="F69" s="6">
        <v>1307</v>
      </c>
      <c r="G69" s="17">
        <f>ROUND(Table1[[#This Row],[pledged]]/Table1[[#This Row],[goal]]*100,2)</f>
        <v>45.07</v>
      </c>
      <c r="H69" s="5">
        <f>+Table1[[#This Row],[pledged]]/Table1[[#This Row],[goal]]</f>
        <v>0.45068965517241377</v>
      </c>
      <c r="I69" t="s">
        <v>14</v>
      </c>
      <c r="J69">
        <v>12</v>
      </c>
      <c r="K69" s="8">
        <f>IFERROR(Table1[[#This Row],[pledged]]/Table1[[#This Row],[backers_count]],"NA")</f>
        <v>108.91666666666667</v>
      </c>
      <c r="L69" t="s">
        <v>21</v>
      </c>
      <c r="M69" t="s">
        <v>22</v>
      </c>
      <c r="N69">
        <v>1428469200</v>
      </c>
      <c r="O69">
        <v>1428901200</v>
      </c>
      <c r="P69" s="11">
        <f>+(((Table1[[#This Row],[launched_at]]/60)/60)/24)+DATE(1970,1,1)</f>
        <v>42102.208333333328</v>
      </c>
      <c r="Q69" s="11">
        <f>+(((Table1[[#This Row],[deadline]]/60)/60)/24)+DATE(1970,1,1)</f>
        <v>42107.208333333328</v>
      </c>
      <c r="R69" t="b">
        <v>0</v>
      </c>
      <c r="S69" t="b">
        <v>1</v>
      </c>
      <c r="T69" t="s">
        <v>33</v>
      </c>
      <c r="U69" t="str">
        <f>+LEFT(Table1[[#This Row],[category &amp; sub-category]],FIND("/",Table1[[#This Row],[category &amp; sub-category]])-1)</f>
        <v>theater</v>
      </c>
      <c r="V69" t="str">
        <f>+RIGHT(Table1[[#This Row],[category &amp; sub-category]],LEN(Table1[[#This Row],[category &amp; sub-category]])-SEARCH("/",Table1[[#This Row],[category &amp; sub-category]]))</f>
        <v>plays</v>
      </c>
    </row>
    <row r="70" spans="2:22" ht="15.75" customHeight="1" x14ac:dyDescent="0.25">
      <c r="B70">
        <v>67</v>
      </c>
      <c r="C70" t="s">
        <v>182</v>
      </c>
      <c r="D70" s="3" t="s">
        <v>183</v>
      </c>
      <c r="E70" s="6">
        <v>72600</v>
      </c>
      <c r="F70" s="6">
        <v>117892</v>
      </c>
      <c r="G70" s="17">
        <f>ROUND(Table1[[#This Row],[pledged]]/Table1[[#This Row],[goal]]*100,2)</f>
        <v>162.38999999999999</v>
      </c>
      <c r="H70" s="5">
        <f>+Table1[[#This Row],[pledged]]/Table1[[#This Row],[goal]]</f>
        <v>1.6238567493112948</v>
      </c>
      <c r="I70" t="s">
        <v>20</v>
      </c>
      <c r="J70">
        <v>4065</v>
      </c>
      <c r="K70" s="8">
        <f>IFERROR(Table1[[#This Row],[pledged]]/Table1[[#This Row],[backers_count]],"NA")</f>
        <v>29.001722017220171</v>
      </c>
      <c r="L70" t="s">
        <v>40</v>
      </c>
      <c r="M70" t="s">
        <v>41</v>
      </c>
      <c r="N70">
        <v>1264399200</v>
      </c>
      <c r="O70">
        <v>1264831200</v>
      </c>
      <c r="P70" s="11">
        <f>+(((Table1[[#This Row],[launched_at]]/60)/60)/24)+DATE(1970,1,1)</f>
        <v>40203.25</v>
      </c>
      <c r="Q70" s="11">
        <f>+(((Table1[[#This Row],[deadline]]/60)/60)/24)+DATE(1970,1,1)</f>
        <v>40208.25</v>
      </c>
      <c r="R70" t="b">
        <v>0</v>
      </c>
      <c r="S70" t="b">
        <v>1</v>
      </c>
      <c r="T70" t="s">
        <v>65</v>
      </c>
      <c r="U70" t="str">
        <f>+LEFT(Table1[[#This Row],[category &amp; sub-category]],FIND("/",Table1[[#This Row],[category &amp; sub-category]])-1)</f>
        <v>technology</v>
      </c>
      <c r="V70" t="str">
        <f>+RIGHT(Table1[[#This Row],[category &amp; sub-category]],LEN(Table1[[#This Row],[category &amp; sub-category]])-SEARCH("/",Table1[[#This Row],[category &amp; sub-category]]))</f>
        <v>wearables</v>
      </c>
    </row>
    <row r="71" spans="2:22" ht="15.75" customHeight="1" x14ac:dyDescent="0.25">
      <c r="B71">
        <v>68</v>
      </c>
      <c r="C71" t="s">
        <v>184</v>
      </c>
      <c r="D71" s="3" t="s">
        <v>185</v>
      </c>
      <c r="E71" s="6">
        <v>5700</v>
      </c>
      <c r="F71" s="6">
        <v>14508</v>
      </c>
      <c r="G71" s="17">
        <f>ROUND(Table1[[#This Row],[pledged]]/Table1[[#This Row],[goal]]*100,2)</f>
        <v>254.53</v>
      </c>
      <c r="H71" s="5">
        <f>+Table1[[#This Row],[pledged]]/Table1[[#This Row],[goal]]</f>
        <v>2.5452631578947367</v>
      </c>
      <c r="I71" t="s">
        <v>20</v>
      </c>
      <c r="J71">
        <v>246</v>
      </c>
      <c r="K71" s="8">
        <f>IFERROR(Table1[[#This Row],[pledged]]/Table1[[#This Row],[backers_count]],"NA")</f>
        <v>58.975609756097562</v>
      </c>
      <c r="L71" t="s">
        <v>107</v>
      </c>
      <c r="M71" t="s">
        <v>108</v>
      </c>
      <c r="N71">
        <v>1501131600</v>
      </c>
      <c r="O71">
        <v>1505192400</v>
      </c>
      <c r="P71" s="11">
        <f>+(((Table1[[#This Row],[launched_at]]/60)/60)/24)+DATE(1970,1,1)</f>
        <v>42943.208333333328</v>
      </c>
      <c r="Q71" s="11">
        <f>+(((Table1[[#This Row],[deadline]]/60)/60)/24)+DATE(1970,1,1)</f>
        <v>42990.208333333328</v>
      </c>
      <c r="R71" t="b">
        <v>0</v>
      </c>
      <c r="S71" t="b">
        <v>1</v>
      </c>
      <c r="T71" t="s">
        <v>33</v>
      </c>
      <c r="U71" t="str">
        <f>+LEFT(Table1[[#This Row],[category &amp; sub-category]],FIND("/",Table1[[#This Row],[category &amp; sub-category]])-1)</f>
        <v>theater</v>
      </c>
      <c r="V71" t="str">
        <f>+RIGHT(Table1[[#This Row],[category &amp; sub-category]],LEN(Table1[[#This Row],[category &amp; sub-category]])-SEARCH("/",Table1[[#This Row],[category &amp; sub-category]]))</f>
        <v>plays</v>
      </c>
    </row>
    <row r="72" spans="2:22" ht="15.75" customHeight="1" x14ac:dyDescent="0.25">
      <c r="B72">
        <v>69</v>
      </c>
      <c r="C72" t="s">
        <v>186</v>
      </c>
      <c r="D72" s="3" t="s">
        <v>187</v>
      </c>
      <c r="E72" s="6">
        <v>7900</v>
      </c>
      <c r="F72" s="6">
        <v>1901</v>
      </c>
      <c r="G72" s="17">
        <f>ROUND(Table1[[#This Row],[pledged]]/Table1[[#This Row],[goal]]*100,2)</f>
        <v>24.06</v>
      </c>
      <c r="H72" s="5">
        <f>+Table1[[#This Row],[pledged]]/Table1[[#This Row],[goal]]</f>
        <v>0.24063291139240506</v>
      </c>
      <c r="I72" t="s">
        <v>74</v>
      </c>
      <c r="J72">
        <v>17</v>
      </c>
      <c r="K72" s="8">
        <f>IFERROR(Table1[[#This Row],[pledged]]/Table1[[#This Row],[backers_count]],"NA")</f>
        <v>111.82352941176471</v>
      </c>
      <c r="L72" t="s">
        <v>21</v>
      </c>
      <c r="M72" t="s">
        <v>22</v>
      </c>
      <c r="N72">
        <v>1292738400</v>
      </c>
      <c r="O72">
        <v>1295676000</v>
      </c>
      <c r="P72" s="11">
        <f>+(((Table1[[#This Row],[launched_at]]/60)/60)/24)+DATE(1970,1,1)</f>
        <v>40531.25</v>
      </c>
      <c r="Q72" s="11">
        <f>+(((Table1[[#This Row],[deadline]]/60)/60)/24)+DATE(1970,1,1)</f>
        <v>40565.25</v>
      </c>
      <c r="R72" t="b">
        <v>0</v>
      </c>
      <c r="S72" t="b">
        <v>0</v>
      </c>
      <c r="T72" t="s">
        <v>33</v>
      </c>
      <c r="U72" t="str">
        <f>+LEFT(Table1[[#This Row],[category &amp; sub-category]],FIND("/",Table1[[#This Row],[category &amp; sub-category]])-1)</f>
        <v>theater</v>
      </c>
      <c r="V72" t="str">
        <f>+RIGHT(Table1[[#This Row],[category &amp; sub-category]],LEN(Table1[[#This Row],[category &amp; sub-category]])-SEARCH("/",Table1[[#This Row],[category &amp; sub-category]]))</f>
        <v>plays</v>
      </c>
    </row>
    <row r="73" spans="2:22" ht="15.75" customHeight="1" x14ac:dyDescent="0.25">
      <c r="B73">
        <v>70</v>
      </c>
      <c r="C73" t="s">
        <v>188</v>
      </c>
      <c r="D73" s="3" t="s">
        <v>189</v>
      </c>
      <c r="E73" s="6">
        <v>128000</v>
      </c>
      <c r="F73" s="6">
        <v>158389</v>
      </c>
      <c r="G73" s="17">
        <f>ROUND(Table1[[#This Row],[pledged]]/Table1[[#This Row],[goal]]*100,2)</f>
        <v>123.74</v>
      </c>
      <c r="H73" s="5">
        <f>+Table1[[#This Row],[pledged]]/Table1[[#This Row],[goal]]</f>
        <v>1.2374140625000001</v>
      </c>
      <c r="I73" t="s">
        <v>20</v>
      </c>
      <c r="J73">
        <v>2475</v>
      </c>
      <c r="K73" s="8">
        <f>IFERROR(Table1[[#This Row],[pledged]]/Table1[[#This Row],[backers_count]],"NA")</f>
        <v>63.995555555555555</v>
      </c>
      <c r="L73" t="s">
        <v>107</v>
      </c>
      <c r="M73" t="s">
        <v>108</v>
      </c>
      <c r="N73">
        <v>1288674000</v>
      </c>
      <c r="O73">
        <v>1292911200</v>
      </c>
      <c r="P73" s="11">
        <f>+(((Table1[[#This Row],[launched_at]]/60)/60)/24)+DATE(1970,1,1)</f>
        <v>40484.208333333336</v>
      </c>
      <c r="Q73" s="11">
        <f>+(((Table1[[#This Row],[deadline]]/60)/60)/24)+DATE(1970,1,1)</f>
        <v>40533.25</v>
      </c>
      <c r="R73" t="b">
        <v>0</v>
      </c>
      <c r="S73" t="b">
        <v>1</v>
      </c>
      <c r="T73" t="s">
        <v>33</v>
      </c>
      <c r="U73" t="str">
        <f>+LEFT(Table1[[#This Row],[category &amp; sub-category]],FIND("/",Table1[[#This Row],[category &amp; sub-category]])-1)</f>
        <v>theater</v>
      </c>
      <c r="V73" t="str">
        <f>+RIGHT(Table1[[#This Row],[category &amp; sub-category]],LEN(Table1[[#This Row],[category &amp; sub-category]])-SEARCH("/",Table1[[#This Row],[category &amp; sub-category]]))</f>
        <v>plays</v>
      </c>
    </row>
    <row r="74" spans="2:22" ht="15.75" customHeight="1" x14ac:dyDescent="0.25">
      <c r="B74">
        <v>71</v>
      </c>
      <c r="C74" t="s">
        <v>190</v>
      </c>
      <c r="D74" s="3" t="s">
        <v>191</v>
      </c>
      <c r="E74" s="6">
        <v>6000</v>
      </c>
      <c r="F74" s="6">
        <v>6484</v>
      </c>
      <c r="G74" s="17">
        <f>ROUND(Table1[[#This Row],[pledged]]/Table1[[#This Row],[goal]]*100,2)</f>
        <v>108.07</v>
      </c>
      <c r="H74" s="5">
        <f>+Table1[[#This Row],[pledged]]/Table1[[#This Row],[goal]]</f>
        <v>1.0806666666666667</v>
      </c>
      <c r="I74" t="s">
        <v>20</v>
      </c>
      <c r="J74">
        <v>76</v>
      </c>
      <c r="K74" s="8">
        <f>IFERROR(Table1[[#This Row],[pledged]]/Table1[[#This Row],[backers_count]],"NA")</f>
        <v>85.315789473684205</v>
      </c>
      <c r="L74" t="s">
        <v>21</v>
      </c>
      <c r="M74" t="s">
        <v>22</v>
      </c>
      <c r="N74">
        <v>1575093600</v>
      </c>
      <c r="O74">
        <v>1575439200</v>
      </c>
      <c r="P74" s="11">
        <f>+(((Table1[[#This Row],[launched_at]]/60)/60)/24)+DATE(1970,1,1)</f>
        <v>43799.25</v>
      </c>
      <c r="Q74" s="11">
        <f>+(((Table1[[#This Row],[deadline]]/60)/60)/24)+DATE(1970,1,1)</f>
        <v>43803.25</v>
      </c>
      <c r="R74" t="b">
        <v>0</v>
      </c>
      <c r="S74" t="b">
        <v>0</v>
      </c>
      <c r="T74" t="s">
        <v>33</v>
      </c>
      <c r="U74" t="str">
        <f>+LEFT(Table1[[#This Row],[category &amp; sub-category]],FIND("/",Table1[[#This Row],[category &amp; sub-category]])-1)</f>
        <v>theater</v>
      </c>
      <c r="V74" t="str">
        <f>+RIGHT(Table1[[#This Row],[category &amp; sub-category]],LEN(Table1[[#This Row],[category &amp; sub-category]])-SEARCH("/",Table1[[#This Row],[category &amp; sub-category]]))</f>
        <v>plays</v>
      </c>
    </row>
    <row r="75" spans="2:22" ht="15.75" customHeight="1" x14ac:dyDescent="0.25">
      <c r="B75">
        <v>72</v>
      </c>
      <c r="C75" t="s">
        <v>192</v>
      </c>
      <c r="D75" s="3" t="s">
        <v>193</v>
      </c>
      <c r="E75" s="6">
        <v>600</v>
      </c>
      <c r="F75" s="6">
        <v>4022</v>
      </c>
      <c r="G75" s="17">
        <f>ROUND(Table1[[#This Row],[pledged]]/Table1[[#This Row],[goal]]*100,2)</f>
        <v>670.33</v>
      </c>
      <c r="H75" s="5">
        <f>+Table1[[#This Row],[pledged]]/Table1[[#This Row],[goal]]</f>
        <v>6.7033333333333331</v>
      </c>
      <c r="I75" t="s">
        <v>20</v>
      </c>
      <c r="J75">
        <v>54</v>
      </c>
      <c r="K75" s="8">
        <f>IFERROR(Table1[[#This Row],[pledged]]/Table1[[#This Row],[backers_count]],"NA")</f>
        <v>74.481481481481481</v>
      </c>
      <c r="L75" t="s">
        <v>21</v>
      </c>
      <c r="M75" t="s">
        <v>22</v>
      </c>
      <c r="N75">
        <v>1435726800</v>
      </c>
      <c r="O75">
        <v>1438837200</v>
      </c>
      <c r="P75" s="11">
        <f>+(((Table1[[#This Row],[launched_at]]/60)/60)/24)+DATE(1970,1,1)</f>
        <v>42186.208333333328</v>
      </c>
      <c r="Q75" s="11">
        <f>+(((Table1[[#This Row],[deadline]]/60)/60)/24)+DATE(1970,1,1)</f>
        <v>42222.208333333328</v>
      </c>
      <c r="R75" t="b">
        <v>0</v>
      </c>
      <c r="S75" t="b">
        <v>0</v>
      </c>
      <c r="T75" t="s">
        <v>71</v>
      </c>
      <c r="U75" t="str">
        <f>+LEFT(Table1[[#This Row],[category &amp; sub-category]],FIND("/",Table1[[#This Row],[category &amp; sub-category]])-1)</f>
        <v>film &amp; video</v>
      </c>
      <c r="V75" t="str">
        <f>+RIGHT(Table1[[#This Row],[category &amp; sub-category]],LEN(Table1[[#This Row],[category &amp; sub-category]])-SEARCH("/",Table1[[#This Row],[category &amp; sub-category]]))</f>
        <v>animation</v>
      </c>
    </row>
    <row r="76" spans="2:22" ht="15.75" customHeight="1" x14ac:dyDescent="0.25">
      <c r="B76">
        <v>73</v>
      </c>
      <c r="C76" t="s">
        <v>194</v>
      </c>
      <c r="D76" s="3" t="s">
        <v>195</v>
      </c>
      <c r="E76" s="6">
        <v>1400</v>
      </c>
      <c r="F76" s="6">
        <v>9253</v>
      </c>
      <c r="G76" s="17">
        <f>ROUND(Table1[[#This Row],[pledged]]/Table1[[#This Row],[goal]]*100,2)</f>
        <v>660.93</v>
      </c>
      <c r="H76" s="5">
        <f>+Table1[[#This Row],[pledged]]/Table1[[#This Row],[goal]]</f>
        <v>6.609285714285714</v>
      </c>
      <c r="I76" t="s">
        <v>20</v>
      </c>
      <c r="J76">
        <v>88</v>
      </c>
      <c r="K76" s="8">
        <f>IFERROR(Table1[[#This Row],[pledged]]/Table1[[#This Row],[backers_count]],"NA")</f>
        <v>105.14772727272727</v>
      </c>
      <c r="L76" t="s">
        <v>21</v>
      </c>
      <c r="M76" t="s">
        <v>22</v>
      </c>
      <c r="N76">
        <v>1480226400</v>
      </c>
      <c r="O76">
        <v>1480485600</v>
      </c>
      <c r="P76" s="11">
        <f>+(((Table1[[#This Row],[launched_at]]/60)/60)/24)+DATE(1970,1,1)</f>
        <v>42701.25</v>
      </c>
      <c r="Q76" s="11">
        <f>+(((Table1[[#This Row],[deadline]]/60)/60)/24)+DATE(1970,1,1)</f>
        <v>42704.25</v>
      </c>
      <c r="R76" t="b">
        <v>0</v>
      </c>
      <c r="S76" t="b">
        <v>0</v>
      </c>
      <c r="T76" t="s">
        <v>159</v>
      </c>
      <c r="U76" t="str">
        <f>+LEFT(Table1[[#This Row],[category &amp; sub-category]],FIND("/",Table1[[#This Row],[category &amp; sub-category]])-1)</f>
        <v>music</v>
      </c>
      <c r="V76" t="str">
        <f>+RIGHT(Table1[[#This Row],[category &amp; sub-category]],LEN(Table1[[#This Row],[category &amp; sub-category]])-SEARCH("/",Table1[[#This Row],[category &amp; sub-category]]))</f>
        <v>jazz</v>
      </c>
    </row>
    <row r="77" spans="2:22" ht="15.75" customHeight="1" x14ac:dyDescent="0.25">
      <c r="B77">
        <v>74</v>
      </c>
      <c r="C77" t="s">
        <v>196</v>
      </c>
      <c r="D77" s="3" t="s">
        <v>197</v>
      </c>
      <c r="E77" s="6">
        <v>3900</v>
      </c>
      <c r="F77" s="6">
        <v>4776</v>
      </c>
      <c r="G77" s="17">
        <f>ROUND(Table1[[#This Row],[pledged]]/Table1[[#This Row],[goal]]*100,2)</f>
        <v>122.46</v>
      </c>
      <c r="H77" s="5">
        <f>+Table1[[#This Row],[pledged]]/Table1[[#This Row],[goal]]</f>
        <v>1.2246153846153847</v>
      </c>
      <c r="I77" t="s">
        <v>20</v>
      </c>
      <c r="J77">
        <v>85</v>
      </c>
      <c r="K77" s="8">
        <f>IFERROR(Table1[[#This Row],[pledged]]/Table1[[#This Row],[backers_count]],"NA")</f>
        <v>56.188235294117646</v>
      </c>
      <c r="L77" t="s">
        <v>40</v>
      </c>
      <c r="M77" t="s">
        <v>41</v>
      </c>
      <c r="N77">
        <v>1459054800</v>
      </c>
      <c r="O77">
        <v>1459141200</v>
      </c>
      <c r="P77" s="11">
        <f>+(((Table1[[#This Row],[launched_at]]/60)/60)/24)+DATE(1970,1,1)</f>
        <v>42456.208333333328</v>
      </c>
      <c r="Q77" s="11">
        <f>+(((Table1[[#This Row],[deadline]]/60)/60)/24)+DATE(1970,1,1)</f>
        <v>42457.208333333328</v>
      </c>
      <c r="R77" t="b">
        <v>0</v>
      </c>
      <c r="S77" t="b">
        <v>0</v>
      </c>
      <c r="T77" t="s">
        <v>148</v>
      </c>
      <c r="U77" t="str">
        <f>+LEFT(Table1[[#This Row],[category &amp; sub-category]],FIND("/",Table1[[#This Row],[category &amp; sub-category]])-1)</f>
        <v>music</v>
      </c>
      <c r="V77" t="str">
        <f>+RIGHT(Table1[[#This Row],[category &amp; sub-category]],LEN(Table1[[#This Row],[category &amp; sub-category]])-SEARCH("/",Table1[[#This Row],[category &amp; sub-category]]))</f>
        <v>metal</v>
      </c>
    </row>
    <row r="78" spans="2:22" ht="15.75" customHeight="1" x14ac:dyDescent="0.25">
      <c r="B78">
        <v>75</v>
      </c>
      <c r="C78" t="s">
        <v>198</v>
      </c>
      <c r="D78" s="3" t="s">
        <v>199</v>
      </c>
      <c r="E78" s="6">
        <v>9700</v>
      </c>
      <c r="F78" s="6">
        <v>14606</v>
      </c>
      <c r="G78" s="17">
        <f>ROUND(Table1[[#This Row],[pledged]]/Table1[[#This Row],[goal]]*100,2)</f>
        <v>150.58000000000001</v>
      </c>
      <c r="H78" s="5">
        <f>+Table1[[#This Row],[pledged]]/Table1[[#This Row],[goal]]</f>
        <v>1.5057731958762886</v>
      </c>
      <c r="I78" t="s">
        <v>20</v>
      </c>
      <c r="J78">
        <v>170</v>
      </c>
      <c r="K78" s="8">
        <f>IFERROR(Table1[[#This Row],[pledged]]/Table1[[#This Row],[backers_count]],"NA")</f>
        <v>85.917647058823533</v>
      </c>
      <c r="L78" t="s">
        <v>21</v>
      </c>
      <c r="M78" t="s">
        <v>22</v>
      </c>
      <c r="N78">
        <v>1531630800</v>
      </c>
      <c r="O78">
        <v>1532322000</v>
      </c>
      <c r="P78" s="11">
        <f>+(((Table1[[#This Row],[launched_at]]/60)/60)/24)+DATE(1970,1,1)</f>
        <v>43296.208333333328</v>
      </c>
      <c r="Q78" s="11">
        <f>+(((Table1[[#This Row],[deadline]]/60)/60)/24)+DATE(1970,1,1)</f>
        <v>43304.208333333328</v>
      </c>
      <c r="R78" t="b">
        <v>0</v>
      </c>
      <c r="S78" t="b">
        <v>0</v>
      </c>
      <c r="T78" t="s">
        <v>122</v>
      </c>
      <c r="U78" t="str">
        <f>+LEFT(Table1[[#This Row],[category &amp; sub-category]],FIND("/",Table1[[#This Row],[category &amp; sub-category]])-1)</f>
        <v>photography</v>
      </c>
      <c r="V78" t="str">
        <f>+RIGHT(Table1[[#This Row],[category &amp; sub-category]],LEN(Table1[[#This Row],[category &amp; sub-category]])-SEARCH("/",Table1[[#This Row],[category &amp; sub-category]]))</f>
        <v>photography books</v>
      </c>
    </row>
    <row r="79" spans="2:22" ht="15.75" customHeight="1" x14ac:dyDescent="0.25">
      <c r="B79">
        <v>76</v>
      </c>
      <c r="C79" t="s">
        <v>200</v>
      </c>
      <c r="D79" s="3" t="s">
        <v>201</v>
      </c>
      <c r="E79" s="6">
        <v>122900</v>
      </c>
      <c r="F79" s="6">
        <v>95993</v>
      </c>
      <c r="G79" s="17">
        <f>ROUND(Table1[[#This Row],[pledged]]/Table1[[#This Row],[goal]]*100,2)</f>
        <v>78.11</v>
      </c>
      <c r="H79" s="5">
        <f>+Table1[[#This Row],[pledged]]/Table1[[#This Row],[goal]]</f>
        <v>0.78106590724165992</v>
      </c>
      <c r="I79" t="s">
        <v>14</v>
      </c>
      <c r="J79">
        <v>1684</v>
      </c>
      <c r="K79" s="8">
        <f>IFERROR(Table1[[#This Row],[pledged]]/Table1[[#This Row],[backers_count]],"NA")</f>
        <v>57.00296912114014</v>
      </c>
      <c r="L79" t="s">
        <v>21</v>
      </c>
      <c r="M79" t="s">
        <v>22</v>
      </c>
      <c r="N79">
        <v>1421992800</v>
      </c>
      <c r="O79">
        <v>1426222800</v>
      </c>
      <c r="P79" s="11">
        <f>+(((Table1[[#This Row],[launched_at]]/60)/60)/24)+DATE(1970,1,1)</f>
        <v>42027.25</v>
      </c>
      <c r="Q79" s="11">
        <f>+(((Table1[[#This Row],[deadline]]/60)/60)/24)+DATE(1970,1,1)</f>
        <v>42076.208333333328</v>
      </c>
      <c r="R79" t="b">
        <v>1</v>
      </c>
      <c r="S79" t="b">
        <v>1</v>
      </c>
      <c r="T79" t="s">
        <v>33</v>
      </c>
      <c r="U79" t="str">
        <f>+LEFT(Table1[[#This Row],[category &amp; sub-category]],FIND("/",Table1[[#This Row],[category &amp; sub-category]])-1)</f>
        <v>theater</v>
      </c>
      <c r="V79" t="str">
        <f>+RIGHT(Table1[[#This Row],[category &amp; sub-category]],LEN(Table1[[#This Row],[category &amp; sub-category]])-SEARCH("/",Table1[[#This Row],[category &amp; sub-category]]))</f>
        <v>plays</v>
      </c>
    </row>
    <row r="80" spans="2:22" ht="15.75" customHeight="1" x14ac:dyDescent="0.25">
      <c r="B80">
        <v>77</v>
      </c>
      <c r="C80" t="s">
        <v>202</v>
      </c>
      <c r="D80" s="3" t="s">
        <v>203</v>
      </c>
      <c r="E80" s="6">
        <v>9500</v>
      </c>
      <c r="F80" s="6">
        <v>4460</v>
      </c>
      <c r="G80" s="17">
        <f>ROUND(Table1[[#This Row],[pledged]]/Table1[[#This Row],[goal]]*100,2)</f>
        <v>46.95</v>
      </c>
      <c r="H80" s="5">
        <f>+Table1[[#This Row],[pledged]]/Table1[[#This Row],[goal]]</f>
        <v>0.46947368421052632</v>
      </c>
      <c r="I80" t="s">
        <v>14</v>
      </c>
      <c r="J80">
        <v>56</v>
      </c>
      <c r="K80" s="8">
        <f>IFERROR(Table1[[#This Row],[pledged]]/Table1[[#This Row],[backers_count]],"NA")</f>
        <v>79.642857142857139</v>
      </c>
      <c r="L80" t="s">
        <v>21</v>
      </c>
      <c r="M80" t="s">
        <v>22</v>
      </c>
      <c r="N80">
        <v>1285563600</v>
      </c>
      <c r="O80">
        <v>1286773200</v>
      </c>
      <c r="P80" s="11">
        <f>+(((Table1[[#This Row],[launched_at]]/60)/60)/24)+DATE(1970,1,1)</f>
        <v>40448.208333333336</v>
      </c>
      <c r="Q80" s="11">
        <f>+(((Table1[[#This Row],[deadline]]/60)/60)/24)+DATE(1970,1,1)</f>
        <v>40462.208333333336</v>
      </c>
      <c r="R80" t="b">
        <v>0</v>
      </c>
      <c r="S80" t="b">
        <v>1</v>
      </c>
      <c r="T80" t="s">
        <v>71</v>
      </c>
      <c r="U80" t="str">
        <f>+LEFT(Table1[[#This Row],[category &amp; sub-category]],FIND("/",Table1[[#This Row],[category &amp; sub-category]])-1)</f>
        <v>film &amp; video</v>
      </c>
      <c r="V80" t="str">
        <f>+RIGHT(Table1[[#This Row],[category &amp; sub-category]],LEN(Table1[[#This Row],[category &amp; sub-category]])-SEARCH("/",Table1[[#This Row],[category &amp; sub-category]]))</f>
        <v>animation</v>
      </c>
    </row>
    <row r="81" spans="2:22" ht="15.75" customHeight="1" x14ac:dyDescent="0.25">
      <c r="B81">
        <v>78</v>
      </c>
      <c r="C81" t="s">
        <v>204</v>
      </c>
      <c r="D81" s="3" t="s">
        <v>205</v>
      </c>
      <c r="E81" s="6">
        <v>4500</v>
      </c>
      <c r="F81" s="6">
        <v>13536</v>
      </c>
      <c r="G81" s="17">
        <f>ROUND(Table1[[#This Row],[pledged]]/Table1[[#This Row],[goal]]*100,2)</f>
        <v>300.8</v>
      </c>
      <c r="H81" s="5">
        <f>+Table1[[#This Row],[pledged]]/Table1[[#This Row],[goal]]</f>
        <v>3.008</v>
      </c>
      <c r="I81" t="s">
        <v>20</v>
      </c>
      <c r="J81">
        <v>330</v>
      </c>
      <c r="K81" s="8">
        <f>IFERROR(Table1[[#This Row],[pledged]]/Table1[[#This Row],[backers_count]],"NA")</f>
        <v>41.018181818181816</v>
      </c>
      <c r="L81" t="s">
        <v>21</v>
      </c>
      <c r="M81" t="s">
        <v>22</v>
      </c>
      <c r="N81">
        <v>1523854800</v>
      </c>
      <c r="O81">
        <v>1523941200</v>
      </c>
      <c r="P81" s="11">
        <f>+(((Table1[[#This Row],[launched_at]]/60)/60)/24)+DATE(1970,1,1)</f>
        <v>43206.208333333328</v>
      </c>
      <c r="Q81" s="11">
        <f>+(((Table1[[#This Row],[deadline]]/60)/60)/24)+DATE(1970,1,1)</f>
        <v>43207.208333333328</v>
      </c>
      <c r="R81" t="b">
        <v>0</v>
      </c>
      <c r="S81" t="b">
        <v>0</v>
      </c>
      <c r="T81" t="s">
        <v>206</v>
      </c>
      <c r="U81" t="str">
        <f>+LEFT(Table1[[#This Row],[category &amp; sub-category]],FIND("/",Table1[[#This Row],[category &amp; sub-category]])-1)</f>
        <v>publishing</v>
      </c>
      <c r="V81" t="str">
        <f>+RIGHT(Table1[[#This Row],[category &amp; sub-category]],LEN(Table1[[#This Row],[category &amp; sub-category]])-SEARCH("/",Table1[[#This Row],[category &amp; sub-category]]))</f>
        <v>translations</v>
      </c>
    </row>
    <row r="82" spans="2:22" ht="15.75" customHeight="1" x14ac:dyDescent="0.25">
      <c r="B82">
        <v>79</v>
      </c>
      <c r="C82" t="s">
        <v>207</v>
      </c>
      <c r="D82" s="3" t="s">
        <v>208</v>
      </c>
      <c r="E82" s="6">
        <v>57800</v>
      </c>
      <c r="F82" s="6">
        <v>40228</v>
      </c>
      <c r="G82" s="17">
        <f>ROUND(Table1[[#This Row],[pledged]]/Table1[[#This Row],[goal]]*100,2)</f>
        <v>69.599999999999994</v>
      </c>
      <c r="H82" s="5">
        <f>+Table1[[#This Row],[pledged]]/Table1[[#This Row],[goal]]</f>
        <v>0.6959861591695502</v>
      </c>
      <c r="I82" t="s">
        <v>14</v>
      </c>
      <c r="J82">
        <v>838</v>
      </c>
      <c r="K82" s="8">
        <f>IFERROR(Table1[[#This Row],[pledged]]/Table1[[#This Row],[backers_count]],"NA")</f>
        <v>48.004773269689736</v>
      </c>
      <c r="L82" t="s">
        <v>21</v>
      </c>
      <c r="M82" t="s">
        <v>22</v>
      </c>
      <c r="N82">
        <v>1529125200</v>
      </c>
      <c r="O82">
        <v>1529557200</v>
      </c>
      <c r="P82" s="11">
        <f>+(((Table1[[#This Row],[launched_at]]/60)/60)/24)+DATE(1970,1,1)</f>
        <v>43267.208333333328</v>
      </c>
      <c r="Q82" s="11">
        <f>+(((Table1[[#This Row],[deadline]]/60)/60)/24)+DATE(1970,1,1)</f>
        <v>43272.208333333328</v>
      </c>
      <c r="R82" t="b">
        <v>0</v>
      </c>
      <c r="S82" t="b">
        <v>0</v>
      </c>
      <c r="T82" t="s">
        <v>33</v>
      </c>
      <c r="U82" t="str">
        <f>+LEFT(Table1[[#This Row],[category &amp; sub-category]],FIND("/",Table1[[#This Row],[category &amp; sub-category]])-1)</f>
        <v>theater</v>
      </c>
      <c r="V82" t="str">
        <f>+RIGHT(Table1[[#This Row],[category &amp; sub-category]],LEN(Table1[[#This Row],[category &amp; sub-category]])-SEARCH("/",Table1[[#This Row],[category &amp; sub-category]]))</f>
        <v>plays</v>
      </c>
    </row>
    <row r="83" spans="2:22" ht="15.75" customHeight="1" x14ac:dyDescent="0.25">
      <c r="B83">
        <v>80</v>
      </c>
      <c r="C83" t="s">
        <v>209</v>
      </c>
      <c r="D83" s="3" t="s">
        <v>210</v>
      </c>
      <c r="E83" s="6">
        <v>1100</v>
      </c>
      <c r="F83" s="6">
        <v>7012</v>
      </c>
      <c r="G83" s="17">
        <f>ROUND(Table1[[#This Row],[pledged]]/Table1[[#This Row],[goal]]*100,2)</f>
        <v>637.45000000000005</v>
      </c>
      <c r="H83" s="5">
        <f>+Table1[[#This Row],[pledged]]/Table1[[#This Row],[goal]]</f>
        <v>6.374545454545455</v>
      </c>
      <c r="I83" t="s">
        <v>20</v>
      </c>
      <c r="J83">
        <v>127</v>
      </c>
      <c r="K83" s="8">
        <f>IFERROR(Table1[[#This Row],[pledged]]/Table1[[#This Row],[backers_count]],"NA")</f>
        <v>55.212598425196852</v>
      </c>
      <c r="L83" t="s">
        <v>21</v>
      </c>
      <c r="M83" t="s">
        <v>22</v>
      </c>
      <c r="N83">
        <v>1503982800</v>
      </c>
      <c r="O83">
        <v>1506574800</v>
      </c>
      <c r="P83" s="11">
        <f>+(((Table1[[#This Row],[launched_at]]/60)/60)/24)+DATE(1970,1,1)</f>
        <v>42976.208333333328</v>
      </c>
      <c r="Q83" s="11">
        <f>+(((Table1[[#This Row],[deadline]]/60)/60)/24)+DATE(1970,1,1)</f>
        <v>43006.208333333328</v>
      </c>
      <c r="R83" t="b">
        <v>0</v>
      </c>
      <c r="S83" t="b">
        <v>0</v>
      </c>
      <c r="T83" t="s">
        <v>89</v>
      </c>
      <c r="U83" t="str">
        <f>+LEFT(Table1[[#This Row],[category &amp; sub-category]],FIND("/",Table1[[#This Row],[category &amp; sub-category]])-1)</f>
        <v>games</v>
      </c>
      <c r="V83" t="str">
        <f>+RIGHT(Table1[[#This Row],[category &amp; sub-category]],LEN(Table1[[#This Row],[category &amp; sub-category]])-SEARCH("/",Table1[[#This Row],[category &amp; sub-category]]))</f>
        <v>video games</v>
      </c>
    </row>
    <row r="84" spans="2:22" ht="15.75" customHeight="1" x14ac:dyDescent="0.25">
      <c r="B84">
        <v>81</v>
      </c>
      <c r="C84" t="s">
        <v>211</v>
      </c>
      <c r="D84" s="3" t="s">
        <v>212</v>
      </c>
      <c r="E84" s="6">
        <v>16800</v>
      </c>
      <c r="F84" s="6">
        <v>37857</v>
      </c>
      <c r="G84" s="17">
        <f>ROUND(Table1[[#This Row],[pledged]]/Table1[[#This Row],[goal]]*100,2)</f>
        <v>225.34</v>
      </c>
      <c r="H84" s="5">
        <f>+Table1[[#This Row],[pledged]]/Table1[[#This Row],[goal]]</f>
        <v>2.253392857142857</v>
      </c>
      <c r="I84" t="s">
        <v>20</v>
      </c>
      <c r="J84">
        <v>411</v>
      </c>
      <c r="K84" s="8">
        <f>IFERROR(Table1[[#This Row],[pledged]]/Table1[[#This Row],[backers_count]],"NA")</f>
        <v>92.109489051094897</v>
      </c>
      <c r="L84" t="s">
        <v>21</v>
      </c>
      <c r="M84" t="s">
        <v>22</v>
      </c>
      <c r="N84">
        <v>1511416800</v>
      </c>
      <c r="O84">
        <v>1513576800</v>
      </c>
      <c r="P84" s="11">
        <f>+(((Table1[[#This Row],[launched_at]]/60)/60)/24)+DATE(1970,1,1)</f>
        <v>43062.25</v>
      </c>
      <c r="Q84" s="11">
        <f>+(((Table1[[#This Row],[deadline]]/60)/60)/24)+DATE(1970,1,1)</f>
        <v>43087.25</v>
      </c>
      <c r="R84" t="b">
        <v>0</v>
      </c>
      <c r="S84" t="b">
        <v>0</v>
      </c>
      <c r="T84" t="s">
        <v>23</v>
      </c>
      <c r="U84" t="str">
        <f>+LEFT(Table1[[#This Row],[category &amp; sub-category]],FIND("/",Table1[[#This Row],[category &amp; sub-category]])-1)</f>
        <v>music</v>
      </c>
      <c r="V84" t="str">
        <f>+RIGHT(Table1[[#This Row],[category &amp; sub-category]],LEN(Table1[[#This Row],[category &amp; sub-category]])-SEARCH("/",Table1[[#This Row],[category &amp; sub-category]]))</f>
        <v>rock</v>
      </c>
    </row>
    <row r="85" spans="2:22" ht="15.75" customHeight="1" x14ac:dyDescent="0.25">
      <c r="B85">
        <v>82</v>
      </c>
      <c r="C85" t="s">
        <v>213</v>
      </c>
      <c r="D85" s="3" t="s">
        <v>214</v>
      </c>
      <c r="E85" s="6">
        <v>1000</v>
      </c>
      <c r="F85" s="6">
        <v>14973</v>
      </c>
      <c r="G85" s="17">
        <f>ROUND(Table1[[#This Row],[pledged]]/Table1[[#This Row],[goal]]*100,2)</f>
        <v>1497.3</v>
      </c>
      <c r="H85" s="5">
        <f>+Table1[[#This Row],[pledged]]/Table1[[#This Row],[goal]]</f>
        <v>14.973000000000001</v>
      </c>
      <c r="I85" t="s">
        <v>20</v>
      </c>
      <c r="J85">
        <v>180</v>
      </c>
      <c r="K85" s="8">
        <f>IFERROR(Table1[[#This Row],[pledged]]/Table1[[#This Row],[backers_count]],"NA")</f>
        <v>83.183333333333337</v>
      </c>
      <c r="L85" t="s">
        <v>40</v>
      </c>
      <c r="M85" t="s">
        <v>41</v>
      </c>
      <c r="N85">
        <v>1547704800</v>
      </c>
      <c r="O85">
        <v>1548309600</v>
      </c>
      <c r="P85" s="11">
        <f>+(((Table1[[#This Row],[launched_at]]/60)/60)/24)+DATE(1970,1,1)</f>
        <v>43482.25</v>
      </c>
      <c r="Q85" s="11">
        <f>+(((Table1[[#This Row],[deadline]]/60)/60)/24)+DATE(1970,1,1)</f>
        <v>43489.25</v>
      </c>
      <c r="R85" t="b">
        <v>0</v>
      </c>
      <c r="S85" t="b">
        <v>1</v>
      </c>
      <c r="T85" t="s">
        <v>89</v>
      </c>
      <c r="U85" t="str">
        <f>+LEFT(Table1[[#This Row],[category &amp; sub-category]],FIND("/",Table1[[#This Row],[category &amp; sub-category]])-1)</f>
        <v>games</v>
      </c>
      <c r="V85" t="str">
        <f>+RIGHT(Table1[[#This Row],[category &amp; sub-category]],LEN(Table1[[#This Row],[category &amp; sub-category]])-SEARCH("/",Table1[[#This Row],[category &amp; sub-category]]))</f>
        <v>video games</v>
      </c>
    </row>
    <row r="86" spans="2:22" ht="15.75" customHeight="1" x14ac:dyDescent="0.25">
      <c r="B86">
        <v>83</v>
      </c>
      <c r="C86" t="s">
        <v>215</v>
      </c>
      <c r="D86" s="3" t="s">
        <v>216</v>
      </c>
      <c r="E86" s="6">
        <v>106400</v>
      </c>
      <c r="F86" s="6">
        <v>39996</v>
      </c>
      <c r="G86" s="17">
        <f>ROUND(Table1[[#This Row],[pledged]]/Table1[[#This Row],[goal]]*100,2)</f>
        <v>37.590000000000003</v>
      </c>
      <c r="H86" s="5">
        <f>+Table1[[#This Row],[pledged]]/Table1[[#This Row],[goal]]</f>
        <v>0.37590225563909774</v>
      </c>
      <c r="I86" t="s">
        <v>14</v>
      </c>
      <c r="J86">
        <v>1000</v>
      </c>
      <c r="K86" s="8">
        <f>IFERROR(Table1[[#This Row],[pledged]]/Table1[[#This Row],[backers_count]],"NA")</f>
        <v>39.996000000000002</v>
      </c>
      <c r="L86" t="s">
        <v>21</v>
      </c>
      <c r="M86" t="s">
        <v>22</v>
      </c>
      <c r="N86">
        <v>1469682000</v>
      </c>
      <c r="O86">
        <v>1471582800</v>
      </c>
      <c r="P86" s="11">
        <f>+(((Table1[[#This Row],[launched_at]]/60)/60)/24)+DATE(1970,1,1)</f>
        <v>42579.208333333328</v>
      </c>
      <c r="Q86" s="11">
        <f>+(((Table1[[#This Row],[deadline]]/60)/60)/24)+DATE(1970,1,1)</f>
        <v>42601.208333333328</v>
      </c>
      <c r="R86" t="b">
        <v>0</v>
      </c>
      <c r="S86" t="b">
        <v>0</v>
      </c>
      <c r="T86" t="s">
        <v>50</v>
      </c>
      <c r="U86" t="str">
        <f>+LEFT(Table1[[#This Row],[category &amp; sub-category]],FIND("/",Table1[[#This Row],[category &amp; sub-category]])-1)</f>
        <v>music</v>
      </c>
      <c r="V86" t="str">
        <f>+RIGHT(Table1[[#This Row],[category &amp; sub-category]],LEN(Table1[[#This Row],[category &amp; sub-category]])-SEARCH("/",Table1[[#This Row],[category &amp; sub-category]]))</f>
        <v>electric music</v>
      </c>
    </row>
    <row r="87" spans="2:22" ht="15.75" customHeight="1" x14ac:dyDescent="0.25">
      <c r="B87">
        <v>84</v>
      </c>
      <c r="C87" t="s">
        <v>217</v>
      </c>
      <c r="D87" s="3" t="s">
        <v>218</v>
      </c>
      <c r="E87" s="6">
        <v>31400</v>
      </c>
      <c r="F87" s="6">
        <v>41564</v>
      </c>
      <c r="G87" s="17">
        <f>ROUND(Table1[[#This Row],[pledged]]/Table1[[#This Row],[goal]]*100,2)</f>
        <v>132.37</v>
      </c>
      <c r="H87" s="5">
        <f>+Table1[[#This Row],[pledged]]/Table1[[#This Row],[goal]]</f>
        <v>1.3236942675159236</v>
      </c>
      <c r="I87" t="s">
        <v>20</v>
      </c>
      <c r="J87">
        <v>374</v>
      </c>
      <c r="K87" s="8">
        <f>IFERROR(Table1[[#This Row],[pledged]]/Table1[[#This Row],[backers_count]],"NA")</f>
        <v>111.1336898395722</v>
      </c>
      <c r="L87" t="s">
        <v>21</v>
      </c>
      <c r="M87" t="s">
        <v>22</v>
      </c>
      <c r="N87">
        <v>1343451600</v>
      </c>
      <c r="O87">
        <v>1344315600</v>
      </c>
      <c r="P87" s="11">
        <f>+(((Table1[[#This Row],[launched_at]]/60)/60)/24)+DATE(1970,1,1)</f>
        <v>41118.208333333336</v>
      </c>
      <c r="Q87" s="11">
        <f>+(((Table1[[#This Row],[deadline]]/60)/60)/24)+DATE(1970,1,1)</f>
        <v>41128.208333333336</v>
      </c>
      <c r="R87" t="b">
        <v>0</v>
      </c>
      <c r="S87" t="b">
        <v>0</v>
      </c>
      <c r="T87" t="s">
        <v>65</v>
      </c>
      <c r="U87" t="str">
        <f>+LEFT(Table1[[#This Row],[category &amp; sub-category]],FIND("/",Table1[[#This Row],[category &amp; sub-category]])-1)</f>
        <v>technology</v>
      </c>
      <c r="V87" t="str">
        <f>+RIGHT(Table1[[#This Row],[category &amp; sub-category]],LEN(Table1[[#This Row],[category &amp; sub-category]])-SEARCH("/",Table1[[#This Row],[category &amp; sub-category]]))</f>
        <v>wearables</v>
      </c>
    </row>
    <row r="88" spans="2:22" ht="15.75" customHeight="1" x14ac:dyDescent="0.25">
      <c r="B88">
        <v>85</v>
      </c>
      <c r="C88" t="s">
        <v>219</v>
      </c>
      <c r="D88" s="3" t="s">
        <v>220</v>
      </c>
      <c r="E88" s="6">
        <v>4900</v>
      </c>
      <c r="F88" s="6">
        <v>6430</v>
      </c>
      <c r="G88" s="17">
        <f>ROUND(Table1[[#This Row],[pledged]]/Table1[[#This Row],[goal]]*100,2)</f>
        <v>131.22</v>
      </c>
      <c r="H88" s="5">
        <f>+Table1[[#This Row],[pledged]]/Table1[[#This Row],[goal]]</f>
        <v>1.3122448979591836</v>
      </c>
      <c r="I88" t="s">
        <v>20</v>
      </c>
      <c r="J88">
        <v>71</v>
      </c>
      <c r="K88" s="8">
        <f>IFERROR(Table1[[#This Row],[pledged]]/Table1[[#This Row],[backers_count]],"NA")</f>
        <v>90.563380281690144</v>
      </c>
      <c r="L88" t="s">
        <v>26</v>
      </c>
      <c r="M88" t="s">
        <v>27</v>
      </c>
      <c r="N88">
        <v>1315717200</v>
      </c>
      <c r="O88">
        <v>1316408400</v>
      </c>
      <c r="P88" s="11">
        <f>+(((Table1[[#This Row],[launched_at]]/60)/60)/24)+DATE(1970,1,1)</f>
        <v>40797.208333333336</v>
      </c>
      <c r="Q88" s="11">
        <f>+(((Table1[[#This Row],[deadline]]/60)/60)/24)+DATE(1970,1,1)</f>
        <v>40805.208333333336</v>
      </c>
      <c r="R88" t="b">
        <v>0</v>
      </c>
      <c r="S88" t="b">
        <v>0</v>
      </c>
      <c r="T88" t="s">
        <v>60</v>
      </c>
      <c r="U88" t="str">
        <f>+LEFT(Table1[[#This Row],[category &amp; sub-category]],FIND("/",Table1[[#This Row],[category &amp; sub-category]])-1)</f>
        <v>music</v>
      </c>
      <c r="V88" t="str">
        <f>+RIGHT(Table1[[#This Row],[category &amp; sub-category]],LEN(Table1[[#This Row],[category &amp; sub-category]])-SEARCH("/",Table1[[#This Row],[category &amp; sub-category]]))</f>
        <v>indie rock</v>
      </c>
    </row>
    <row r="89" spans="2:22" ht="15.75" customHeight="1" x14ac:dyDescent="0.25">
      <c r="B89">
        <v>86</v>
      </c>
      <c r="C89" t="s">
        <v>221</v>
      </c>
      <c r="D89" s="3" t="s">
        <v>222</v>
      </c>
      <c r="E89" s="6">
        <v>7400</v>
      </c>
      <c r="F89" s="6">
        <v>12405</v>
      </c>
      <c r="G89" s="17">
        <f>ROUND(Table1[[#This Row],[pledged]]/Table1[[#This Row],[goal]]*100,2)</f>
        <v>167.64</v>
      </c>
      <c r="H89" s="5">
        <f>+Table1[[#This Row],[pledged]]/Table1[[#This Row],[goal]]</f>
        <v>1.6763513513513513</v>
      </c>
      <c r="I89" t="s">
        <v>20</v>
      </c>
      <c r="J89">
        <v>203</v>
      </c>
      <c r="K89" s="8">
        <f>IFERROR(Table1[[#This Row],[pledged]]/Table1[[#This Row],[backers_count]],"NA")</f>
        <v>61.108374384236456</v>
      </c>
      <c r="L89" t="s">
        <v>21</v>
      </c>
      <c r="M89" t="s">
        <v>22</v>
      </c>
      <c r="N89">
        <v>1430715600</v>
      </c>
      <c r="O89">
        <v>1431838800</v>
      </c>
      <c r="P89" s="11">
        <f>+(((Table1[[#This Row],[launched_at]]/60)/60)/24)+DATE(1970,1,1)</f>
        <v>42128.208333333328</v>
      </c>
      <c r="Q89" s="11">
        <f>+(((Table1[[#This Row],[deadline]]/60)/60)/24)+DATE(1970,1,1)</f>
        <v>42141.208333333328</v>
      </c>
      <c r="R89" t="b">
        <v>1</v>
      </c>
      <c r="S89" t="b">
        <v>0</v>
      </c>
      <c r="T89" t="s">
        <v>33</v>
      </c>
      <c r="U89" t="str">
        <f>+LEFT(Table1[[#This Row],[category &amp; sub-category]],FIND("/",Table1[[#This Row],[category &amp; sub-category]])-1)</f>
        <v>theater</v>
      </c>
      <c r="V89" t="str">
        <f>+RIGHT(Table1[[#This Row],[category &amp; sub-category]],LEN(Table1[[#This Row],[category &amp; sub-category]])-SEARCH("/",Table1[[#This Row],[category &amp; sub-category]]))</f>
        <v>plays</v>
      </c>
    </row>
    <row r="90" spans="2:22" ht="15.75" customHeight="1" x14ac:dyDescent="0.25">
      <c r="B90">
        <v>87</v>
      </c>
      <c r="C90" t="s">
        <v>223</v>
      </c>
      <c r="D90" s="3" t="s">
        <v>224</v>
      </c>
      <c r="E90" s="6">
        <v>198500</v>
      </c>
      <c r="F90" s="6">
        <v>123040</v>
      </c>
      <c r="G90" s="17">
        <f>ROUND(Table1[[#This Row],[pledged]]/Table1[[#This Row],[goal]]*100,2)</f>
        <v>61.98</v>
      </c>
      <c r="H90" s="5">
        <f>+Table1[[#This Row],[pledged]]/Table1[[#This Row],[goal]]</f>
        <v>0.6198488664987406</v>
      </c>
      <c r="I90" t="s">
        <v>14</v>
      </c>
      <c r="J90">
        <v>1482</v>
      </c>
      <c r="K90" s="8">
        <f>IFERROR(Table1[[#This Row],[pledged]]/Table1[[#This Row],[backers_count]],"NA")</f>
        <v>83.022941970310384</v>
      </c>
      <c r="L90" t="s">
        <v>26</v>
      </c>
      <c r="M90" t="s">
        <v>27</v>
      </c>
      <c r="N90">
        <v>1299564000</v>
      </c>
      <c r="O90">
        <v>1300510800</v>
      </c>
      <c r="P90" s="11">
        <f>+(((Table1[[#This Row],[launched_at]]/60)/60)/24)+DATE(1970,1,1)</f>
        <v>40610.25</v>
      </c>
      <c r="Q90" s="11">
        <f>+(((Table1[[#This Row],[deadline]]/60)/60)/24)+DATE(1970,1,1)</f>
        <v>40621.208333333336</v>
      </c>
      <c r="R90" t="b">
        <v>0</v>
      </c>
      <c r="S90" t="b">
        <v>1</v>
      </c>
      <c r="T90" t="s">
        <v>23</v>
      </c>
      <c r="U90" t="str">
        <f>+LEFT(Table1[[#This Row],[category &amp; sub-category]],FIND("/",Table1[[#This Row],[category &amp; sub-category]])-1)</f>
        <v>music</v>
      </c>
      <c r="V90" t="str">
        <f>+RIGHT(Table1[[#This Row],[category &amp; sub-category]],LEN(Table1[[#This Row],[category &amp; sub-category]])-SEARCH("/",Table1[[#This Row],[category &amp; sub-category]]))</f>
        <v>rock</v>
      </c>
    </row>
    <row r="91" spans="2:22" ht="15.75" customHeight="1" x14ac:dyDescent="0.25">
      <c r="B91">
        <v>88</v>
      </c>
      <c r="C91" t="s">
        <v>225</v>
      </c>
      <c r="D91" s="3" t="s">
        <v>226</v>
      </c>
      <c r="E91" s="6">
        <v>4800</v>
      </c>
      <c r="F91" s="6">
        <v>12516</v>
      </c>
      <c r="G91" s="17">
        <f>ROUND(Table1[[#This Row],[pledged]]/Table1[[#This Row],[goal]]*100,2)</f>
        <v>260.75</v>
      </c>
      <c r="H91" s="5">
        <f>+Table1[[#This Row],[pledged]]/Table1[[#This Row],[goal]]</f>
        <v>2.6074999999999999</v>
      </c>
      <c r="I91" t="s">
        <v>20</v>
      </c>
      <c r="J91">
        <v>113</v>
      </c>
      <c r="K91" s="8">
        <f>IFERROR(Table1[[#This Row],[pledged]]/Table1[[#This Row],[backers_count]],"NA")</f>
        <v>110.76106194690266</v>
      </c>
      <c r="L91" t="s">
        <v>21</v>
      </c>
      <c r="M91" t="s">
        <v>22</v>
      </c>
      <c r="N91">
        <v>1429160400</v>
      </c>
      <c r="O91">
        <v>1431061200</v>
      </c>
      <c r="P91" s="11">
        <f>+(((Table1[[#This Row],[launched_at]]/60)/60)/24)+DATE(1970,1,1)</f>
        <v>42110.208333333328</v>
      </c>
      <c r="Q91" s="11">
        <f>+(((Table1[[#This Row],[deadline]]/60)/60)/24)+DATE(1970,1,1)</f>
        <v>42132.208333333328</v>
      </c>
      <c r="R91" t="b">
        <v>0</v>
      </c>
      <c r="S91" t="b">
        <v>0</v>
      </c>
      <c r="T91" t="s">
        <v>206</v>
      </c>
      <c r="U91" t="str">
        <f>+LEFT(Table1[[#This Row],[category &amp; sub-category]],FIND("/",Table1[[#This Row],[category &amp; sub-category]])-1)</f>
        <v>publishing</v>
      </c>
      <c r="V91" t="str">
        <f>+RIGHT(Table1[[#This Row],[category &amp; sub-category]],LEN(Table1[[#This Row],[category &amp; sub-category]])-SEARCH("/",Table1[[#This Row],[category &amp; sub-category]]))</f>
        <v>translations</v>
      </c>
    </row>
    <row r="92" spans="2:22" ht="15.75" customHeight="1" x14ac:dyDescent="0.25">
      <c r="B92">
        <v>89</v>
      </c>
      <c r="C92" t="s">
        <v>227</v>
      </c>
      <c r="D92" s="3" t="s">
        <v>228</v>
      </c>
      <c r="E92" s="6">
        <v>3400</v>
      </c>
      <c r="F92" s="6">
        <v>8588</v>
      </c>
      <c r="G92" s="17">
        <f>ROUND(Table1[[#This Row],[pledged]]/Table1[[#This Row],[goal]]*100,2)</f>
        <v>252.59</v>
      </c>
      <c r="H92" s="5">
        <f>+Table1[[#This Row],[pledged]]/Table1[[#This Row],[goal]]</f>
        <v>2.5258823529411765</v>
      </c>
      <c r="I92" t="s">
        <v>20</v>
      </c>
      <c r="J92">
        <v>96</v>
      </c>
      <c r="K92" s="8">
        <f>IFERROR(Table1[[#This Row],[pledged]]/Table1[[#This Row],[backers_count]],"NA")</f>
        <v>89.458333333333329</v>
      </c>
      <c r="L92" t="s">
        <v>21</v>
      </c>
      <c r="M92" t="s">
        <v>22</v>
      </c>
      <c r="N92">
        <v>1271307600</v>
      </c>
      <c r="O92">
        <v>1271480400</v>
      </c>
      <c r="P92" s="11">
        <f>+(((Table1[[#This Row],[launched_at]]/60)/60)/24)+DATE(1970,1,1)</f>
        <v>40283.208333333336</v>
      </c>
      <c r="Q92" s="11">
        <f>+(((Table1[[#This Row],[deadline]]/60)/60)/24)+DATE(1970,1,1)</f>
        <v>40285.208333333336</v>
      </c>
      <c r="R92" t="b">
        <v>0</v>
      </c>
      <c r="S92" t="b">
        <v>0</v>
      </c>
      <c r="T92" t="s">
        <v>33</v>
      </c>
      <c r="U92" t="str">
        <f>+LEFT(Table1[[#This Row],[category &amp; sub-category]],FIND("/",Table1[[#This Row],[category &amp; sub-category]])-1)</f>
        <v>theater</v>
      </c>
      <c r="V92" t="str">
        <f>+RIGHT(Table1[[#This Row],[category &amp; sub-category]],LEN(Table1[[#This Row],[category &amp; sub-category]])-SEARCH("/",Table1[[#This Row],[category &amp; sub-category]]))</f>
        <v>plays</v>
      </c>
    </row>
    <row r="93" spans="2:22" ht="15.75" customHeight="1" x14ac:dyDescent="0.25">
      <c r="B93">
        <v>90</v>
      </c>
      <c r="C93" t="s">
        <v>229</v>
      </c>
      <c r="D93" s="3" t="s">
        <v>230</v>
      </c>
      <c r="E93" s="6">
        <v>7800</v>
      </c>
      <c r="F93" s="6">
        <v>6132</v>
      </c>
      <c r="G93" s="17">
        <f>ROUND(Table1[[#This Row],[pledged]]/Table1[[#This Row],[goal]]*100,2)</f>
        <v>78.62</v>
      </c>
      <c r="H93" s="5">
        <f>+Table1[[#This Row],[pledged]]/Table1[[#This Row],[goal]]</f>
        <v>0.7861538461538462</v>
      </c>
      <c r="I93" t="s">
        <v>14</v>
      </c>
      <c r="J93">
        <v>106</v>
      </c>
      <c r="K93" s="8">
        <f>IFERROR(Table1[[#This Row],[pledged]]/Table1[[#This Row],[backers_count]],"NA")</f>
        <v>57.849056603773583</v>
      </c>
      <c r="L93" t="s">
        <v>21</v>
      </c>
      <c r="M93" t="s">
        <v>22</v>
      </c>
      <c r="N93">
        <v>1456380000</v>
      </c>
      <c r="O93">
        <v>1456380000</v>
      </c>
      <c r="P93" s="11">
        <f>+(((Table1[[#This Row],[launched_at]]/60)/60)/24)+DATE(1970,1,1)</f>
        <v>42425.25</v>
      </c>
      <c r="Q93" s="11">
        <f>+(((Table1[[#This Row],[deadline]]/60)/60)/24)+DATE(1970,1,1)</f>
        <v>42425.25</v>
      </c>
      <c r="R93" t="b">
        <v>0</v>
      </c>
      <c r="S93" t="b">
        <v>1</v>
      </c>
      <c r="T93" t="s">
        <v>33</v>
      </c>
      <c r="U93" t="str">
        <f>+LEFT(Table1[[#This Row],[category &amp; sub-category]],FIND("/",Table1[[#This Row],[category &amp; sub-category]])-1)</f>
        <v>theater</v>
      </c>
      <c r="V93" t="str">
        <f>+RIGHT(Table1[[#This Row],[category &amp; sub-category]],LEN(Table1[[#This Row],[category &amp; sub-category]])-SEARCH("/",Table1[[#This Row],[category &amp; sub-category]]))</f>
        <v>plays</v>
      </c>
    </row>
    <row r="94" spans="2:22" ht="15.75" customHeight="1" x14ac:dyDescent="0.25">
      <c r="B94">
        <v>91</v>
      </c>
      <c r="C94" t="s">
        <v>231</v>
      </c>
      <c r="D94" s="3" t="s">
        <v>232</v>
      </c>
      <c r="E94" s="6">
        <v>154300</v>
      </c>
      <c r="F94" s="6">
        <v>74688</v>
      </c>
      <c r="G94" s="17">
        <f>ROUND(Table1[[#This Row],[pledged]]/Table1[[#This Row],[goal]]*100,2)</f>
        <v>48.4</v>
      </c>
      <c r="H94" s="5">
        <f>+Table1[[#This Row],[pledged]]/Table1[[#This Row],[goal]]</f>
        <v>0.48404406999351912</v>
      </c>
      <c r="I94" t="s">
        <v>14</v>
      </c>
      <c r="J94">
        <v>679</v>
      </c>
      <c r="K94" s="8">
        <f>IFERROR(Table1[[#This Row],[pledged]]/Table1[[#This Row],[backers_count]],"NA")</f>
        <v>109.99705449189985</v>
      </c>
      <c r="L94" t="s">
        <v>107</v>
      </c>
      <c r="M94" t="s">
        <v>108</v>
      </c>
      <c r="N94">
        <v>1470459600</v>
      </c>
      <c r="O94">
        <v>1472878800</v>
      </c>
      <c r="P94" s="11">
        <f>+(((Table1[[#This Row],[launched_at]]/60)/60)/24)+DATE(1970,1,1)</f>
        <v>42588.208333333328</v>
      </c>
      <c r="Q94" s="11">
        <f>+(((Table1[[#This Row],[deadline]]/60)/60)/24)+DATE(1970,1,1)</f>
        <v>42616.208333333328</v>
      </c>
      <c r="R94" t="b">
        <v>0</v>
      </c>
      <c r="S94" t="b">
        <v>0</v>
      </c>
      <c r="T94" t="s">
        <v>206</v>
      </c>
      <c r="U94" t="str">
        <f>+LEFT(Table1[[#This Row],[category &amp; sub-category]],FIND("/",Table1[[#This Row],[category &amp; sub-category]])-1)</f>
        <v>publishing</v>
      </c>
      <c r="V94" t="str">
        <f>+RIGHT(Table1[[#This Row],[category &amp; sub-category]],LEN(Table1[[#This Row],[category &amp; sub-category]])-SEARCH("/",Table1[[#This Row],[category &amp; sub-category]]))</f>
        <v>translations</v>
      </c>
    </row>
    <row r="95" spans="2:22" ht="15.75" customHeight="1" x14ac:dyDescent="0.25">
      <c r="B95">
        <v>92</v>
      </c>
      <c r="C95" t="s">
        <v>233</v>
      </c>
      <c r="D95" s="3" t="s">
        <v>234</v>
      </c>
      <c r="E95" s="6">
        <v>20000</v>
      </c>
      <c r="F95" s="6">
        <v>51775</v>
      </c>
      <c r="G95" s="17">
        <f>ROUND(Table1[[#This Row],[pledged]]/Table1[[#This Row],[goal]]*100,2)</f>
        <v>258.88</v>
      </c>
      <c r="H95" s="5">
        <f>+Table1[[#This Row],[pledged]]/Table1[[#This Row],[goal]]</f>
        <v>2.5887500000000001</v>
      </c>
      <c r="I95" t="s">
        <v>20</v>
      </c>
      <c r="J95">
        <v>498</v>
      </c>
      <c r="K95" s="8">
        <f>IFERROR(Table1[[#This Row],[pledged]]/Table1[[#This Row],[backers_count]],"NA")</f>
        <v>103.96586345381526</v>
      </c>
      <c r="L95" t="s">
        <v>98</v>
      </c>
      <c r="M95" t="s">
        <v>99</v>
      </c>
      <c r="N95">
        <v>1277269200</v>
      </c>
      <c r="O95">
        <v>1277355600</v>
      </c>
      <c r="P95" s="11">
        <f>+(((Table1[[#This Row],[launched_at]]/60)/60)/24)+DATE(1970,1,1)</f>
        <v>40352.208333333336</v>
      </c>
      <c r="Q95" s="11">
        <f>+(((Table1[[#This Row],[deadline]]/60)/60)/24)+DATE(1970,1,1)</f>
        <v>40353.208333333336</v>
      </c>
      <c r="R95" t="b">
        <v>0</v>
      </c>
      <c r="S95" t="b">
        <v>1</v>
      </c>
      <c r="T95" t="s">
        <v>89</v>
      </c>
      <c r="U95" t="str">
        <f>+LEFT(Table1[[#This Row],[category &amp; sub-category]],FIND("/",Table1[[#This Row],[category &amp; sub-category]])-1)</f>
        <v>games</v>
      </c>
      <c r="V95" t="str">
        <f>+RIGHT(Table1[[#This Row],[category &amp; sub-category]],LEN(Table1[[#This Row],[category &amp; sub-category]])-SEARCH("/",Table1[[#This Row],[category &amp; sub-category]]))</f>
        <v>video games</v>
      </c>
    </row>
    <row r="96" spans="2:22" ht="15.75" customHeight="1" x14ac:dyDescent="0.25">
      <c r="B96">
        <v>93</v>
      </c>
      <c r="C96" t="s">
        <v>235</v>
      </c>
      <c r="D96" s="3" t="s">
        <v>236</v>
      </c>
      <c r="E96" s="6">
        <v>108800</v>
      </c>
      <c r="F96" s="6">
        <v>65877</v>
      </c>
      <c r="G96" s="17">
        <f>ROUND(Table1[[#This Row],[pledged]]/Table1[[#This Row],[goal]]*100,2)</f>
        <v>60.55</v>
      </c>
      <c r="H96" s="5">
        <f>+Table1[[#This Row],[pledged]]/Table1[[#This Row],[goal]]</f>
        <v>0.60548713235294116</v>
      </c>
      <c r="I96" t="s">
        <v>74</v>
      </c>
      <c r="J96">
        <v>610</v>
      </c>
      <c r="K96" s="8">
        <f>IFERROR(Table1[[#This Row],[pledged]]/Table1[[#This Row],[backers_count]],"NA")</f>
        <v>107.99508196721311</v>
      </c>
      <c r="L96" t="s">
        <v>21</v>
      </c>
      <c r="M96" t="s">
        <v>22</v>
      </c>
      <c r="N96">
        <v>1350709200</v>
      </c>
      <c r="O96">
        <v>1351054800</v>
      </c>
      <c r="P96" s="11">
        <f>+(((Table1[[#This Row],[launched_at]]/60)/60)/24)+DATE(1970,1,1)</f>
        <v>41202.208333333336</v>
      </c>
      <c r="Q96" s="11">
        <f>+(((Table1[[#This Row],[deadline]]/60)/60)/24)+DATE(1970,1,1)</f>
        <v>41206.208333333336</v>
      </c>
      <c r="R96" t="b">
        <v>0</v>
      </c>
      <c r="S96" t="b">
        <v>1</v>
      </c>
      <c r="T96" t="s">
        <v>33</v>
      </c>
      <c r="U96" t="str">
        <f>+LEFT(Table1[[#This Row],[category &amp; sub-category]],FIND("/",Table1[[#This Row],[category &amp; sub-category]])-1)</f>
        <v>theater</v>
      </c>
      <c r="V96" t="str">
        <f>+RIGHT(Table1[[#This Row],[category &amp; sub-category]],LEN(Table1[[#This Row],[category &amp; sub-category]])-SEARCH("/",Table1[[#This Row],[category &amp; sub-category]]))</f>
        <v>plays</v>
      </c>
    </row>
    <row r="97" spans="2:22" ht="15.75" customHeight="1" x14ac:dyDescent="0.25">
      <c r="B97">
        <v>94</v>
      </c>
      <c r="C97" t="s">
        <v>237</v>
      </c>
      <c r="D97" s="3" t="s">
        <v>238</v>
      </c>
      <c r="E97" s="6">
        <v>2900</v>
      </c>
      <c r="F97" s="6">
        <v>8807</v>
      </c>
      <c r="G97" s="17">
        <f>ROUND(Table1[[#This Row],[pledged]]/Table1[[#This Row],[goal]]*100,2)</f>
        <v>303.69</v>
      </c>
      <c r="H97" s="5">
        <f>+Table1[[#This Row],[pledged]]/Table1[[#This Row],[goal]]</f>
        <v>3.036896551724138</v>
      </c>
      <c r="I97" t="s">
        <v>20</v>
      </c>
      <c r="J97">
        <v>180</v>
      </c>
      <c r="K97" s="8">
        <f>IFERROR(Table1[[#This Row],[pledged]]/Table1[[#This Row],[backers_count]],"NA")</f>
        <v>48.927777777777777</v>
      </c>
      <c r="L97" t="s">
        <v>40</v>
      </c>
      <c r="M97" t="s">
        <v>41</v>
      </c>
      <c r="N97">
        <v>1554613200</v>
      </c>
      <c r="O97">
        <v>1555563600</v>
      </c>
      <c r="P97" s="11">
        <f>+(((Table1[[#This Row],[launched_at]]/60)/60)/24)+DATE(1970,1,1)</f>
        <v>43562.208333333328</v>
      </c>
      <c r="Q97" s="11">
        <f>+(((Table1[[#This Row],[deadline]]/60)/60)/24)+DATE(1970,1,1)</f>
        <v>43573.208333333328</v>
      </c>
      <c r="R97" t="b">
        <v>0</v>
      </c>
      <c r="S97" t="b">
        <v>0</v>
      </c>
      <c r="T97" t="s">
        <v>28</v>
      </c>
      <c r="U97" t="str">
        <f>+LEFT(Table1[[#This Row],[category &amp; sub-category]],FIND("/",Table1[[#This Row],[category &amp; sub-category]])-1)</f>
        <v>technology</v>
      </c>
      <c r="V97" t="str">
        <f>+RIGHT(Table1[[#This Row],[category &amp; sub-category]],LEN(Table1[[#This Row],[category &amp; sub-category]])-SEARCH("/",Table1[[#This Row],[category &amp; sub-category]]))</f>
        <v>web</v>
      </c>
    </row>
    <row r="98" spans="2:22" ht="15.75" customHeight="1" x14ac:dyDescent="0.25">
      <c r="B98">
        <v>95</v>
      </c>
      <c r="C98" t="s">
        <v>239</v>
      </c>
      <c r="D98" s="3" t="s">
        <v>240</v>
      </c>
      <c r="E98" s="6">
        <v>900</v>
      </c>
      <c r="F98" s="6">
        <v>1017</v>
      </c>
      <c r="G98" s="17">
        <f>ROUND(Table1[[#This Row],[pledged]]/Table1[[#This Row],[goal]]*100,2)</f>
        <v>113</v>
      </c>
      <c r="H98" s="5">
        <f>+Table1[[#This Row],[pledged]]/Table1[[#This Row],[goal]]</f>
        <v>1.1299999999999999</v>
      </c>
      <c r="I98" t="s">
        <v>20</v>
      </c>
      <c r="J98">
        <v>27</v>
      </c>
      <c r="K98" s="8">
        <f>IFERROR(Table1[[#This Row],[pledged]]/Table1[[#This Row],[backers_count]],"NA")</f>
        <v>37.666666666666664</v>
      </c>
      <c r="L98" t="s">
        <v>21</v>
      </c>
      <c r="M98" t="s">
        <v>22</v>
      </c>
      <c r="N98">
        <v>1571029200</v>
      </c>
      <c r="O98">
        <v>1571634000</v>
      </c>
      <c r="P98" s="11">
        <f>+(((Table1[[#This Row],[launched_at]]/60)/60)/24)+DATE(1970,1,1)</f>
        <v>43752.208333333328</v>
      </c>
      <c r="Q98" s="11">
        <f>+(((Table1[[#This Row],[deadline]]/60)/60)/24)+DATE(1970,1,1)</f>
        <v>43759.208333333328</v>
      </c>
      <c r="R98" t="b">
        <v>0</v>
      </c>
      <c r="S98" t="b">
        <v>0</v>
      </c>
      <c r="T98" t="s">
        <v>42</v>
      </c>
      <c r="U98" t="str">
        <f>+LEFT(Table1[[#This Row],[category &amp; sub-category]],FIND("/",Table1[[#This Row],[category &amp; sub-category]])-1)</f>
        <v>film &amp; video</v>
      </c>
      <c r="V98" t="str">
        <f>+RIGHT(Table1[[#This Row],[category &amp; sub-category]],LEN(Table1[[#This Row],[category &amp; sub-category]])-SEARCH("/",Table1[[#This Row],[category &amp; sub-category]]))</f>
        <v>documentary</v>
      </c>
    </row>
    <row r="99" spans="2:22" ht="15.75" customHeight="1" x14ac:dyDescent="0.25">
      <c r="B99">
        <v>96</v>
      </c>
      <c r="C99" t="s">
        <v>241</v>
      </c>
      <c r="D99" s="3" t="s">
        <v>242</v>
      </c>
      <c r="E99" s="6">
        <v>69700</v>
      </c>
      <c r="F99" s="6">
        <v>151513</v>
      </c>
      <c r="G99" s="17">
        <f>ROUND(Table1[[#This Row],[pledged]]/Table1[[#This Row],[goal]]*100,2)</f>
        <v>217.38</v>
      </c>
      <c r="H99" s="5">
        <f>+Table1[[#This Row],[pledged]]/Table1[[#This Row],[goal]]</f>
        <v>2.1737876614060259</v>
      </c>
      <c r="I99" t="s">
        <v>20</v>
      </c>
      <c r="J99">
        <v>2331</v>
      </c>
      <c r="K99" s="8">
        <f>IFERROR(Table1[[#This Row],[pledged]]/Table1[[#This Row],[backers_count]],"NA")</f>
        <v>64.999141999141997</v>
      </c>
      <c r="L99" t="s">
        <v>21</v>
      </c>
      <c r="M99" t="s">
        <v>22</v>
      </c>
      <c r="N99">
        <v>1299736800</v>
      </c>
      <c r="O99">
        <v>1300856400</v>
      </c>
      <c r="P99" s="11">
        <f>+(((Table1[[#This Row],[launched_at]]/60)/60)/24)+DATE(1970,1,1)</f>
        <v>40612.25</v>
      </c>
      <c r="Q99" s="11">
        <f>+(((Table1[[#This Row],[deadline]]/60)/60)/24)+DATE(1970,1,1)</f>
        <v>40625.208333333336</v>
      </c>
      <c r="R99" t="b">
        <v>0</v>
      </c>
      <c r="S99" t="b">
        <v>0</v>
      </c>
      <c r="T99" t="s">
        <v>33</v>
      </c>
      <c r="U99" t="str">
        <f>+LEFT(Table1[[#This Row],[category &amp; sub-category]],FIND("/",Table1[[#This Row],[category &amp; sub-category]])-1)</f>
        <v>theater</v>
      </c>
      <c r="V99" t="str">
        <f>+RIGHT(Table1[[#This Row],[category &amp; sub-category]],LEN(Table1[[#This Row],[category &amp; sub-category]])-SEARCH("/",Table1[[#This Row],[category &amp; sub-category]]))</f>
        <v>plays</v>
      </c>
    </row>
    <row r="100" spans="2:22" ht="15.75" customHeight="1" x14ac:dyDescent="0.25">
      <c r="B100">
        <v>97</v>
      </c>
      <c r="C100" t="s">
        <v>243</v>
      </c>
      <c r="D100" s="3" t="s">
        <v>244</v>
      </c>
      <c r="E100" s="6">
        <v>1300</v>
      </c>
      <c r="F100" s="6">
        <v>12047</v>
      </c>
      <c r="G100" s="17">
        <f>ROUND(Table1[[#This Row],[pledged]]/Table1[[#This Row],[goal]]*100,2)</f>
        <v>926.69</v>
      </c>
      <c r="H100" s="5">
        <f>+Table1[[#This Row],[pledged]]/Table1[[#This Row],[goal]]</f>
        <v>9.2669230769230762</v>
      </c>
      <c r="I100" t="s">
        <v>20</v>
      </c>
      <c r="J100">
        <v>113</v>
      </c>
      <c r="K100" s="8">
        <f>IFERROR(Table1[[#This Row],[pledged]]/Table1[[#This Row],[backers_count]],"NA")</f>
        <v>106.61061946902655</v>
      </c>
      <c r="L100" t="s">
        <v>21</v>
      </c>
      <c r="M100" t="s">
        <v>22</v>
      </c>
      <c r="N100">
        <v>1435208400</v>
      </c>
      <c r="O100">
        <v>1439874000</v>
      </c>
      <c r="P100" s="11">
        <f>+(((Table1[[#This Row],[launched_at]]/60)/60)/24)+DATE(1970,1,1)</f>
        <v>42180.208333333328</v>
      </c>
      <c r="Q100" s="11">
        <f>+(((Table1[[#This Row],[deadline]]/60)/60)/24)+DATE(1970,1,1)</f>
        <v>42234.208333333328</v>
      </c>
      <c r="R100" t="b">
        <v>0</v>
      </c>
      <c r="S100" t="b">
        <v>0</v>
      </c>
      <c r="T100" t="s">
        <v>17</v>
      </c>
      <c r="U100" t="str">
        <f>+LEFT(Table1[[#This Row],[category &amp; sub-category]],FIND("/",Table1[[#This Row],[category &amp; sub-category]])-1)</f>
        <v>food</v>
      </c>
      <c r="V100" t="str">
        <f>+RIGHT(Table1[[#This Row],[category &amp; sub-category]],LEN(Table1[[#This Row],[category &amp; sub-category]])-SEARCH("/",Table1[[#This Row],[category &amp; sub-category]]))</f>
        <v>food trucks</v>
      </c>
    </row>
    <row r="101" spans="2:22" ht="15.75" customHeight="1" x14ac:dyDescent="0.25">
      <c r="B101">
        <v>98</v>
      </c>
      <c r="C101" t="s">
        <v>245</v>
      </c>
      <c r="D101" s="3" t="s">
        <v>246</v>
      </c>
      <c r="E101" s="6">
        <v>97800</v>
      </c>
      <c r="F101" s="6">
        <v>32951</v>
      </c>
      <c r="G101" s="17">
        <f>ROUND(Table1[[#This Row],[pledged]]/Table1[[#This Row],[goal]]*100,2)</f>
        <v>33.69</v>
      </c>
      <c r="H101" s="5">
        <f>+Table1[[#This Row],[pledged]]/Table1[[#This Row],[goal]]</f>
        <v>0.33692229038854804</v>
      </c>
      <c r="I101" t="s">
        <v>14</v>
      </c>
      <c r="J101">
        <v>1220</v>
      </c>
      <c r="K101" s="8">
        <f>IFERROR(Table1[[#This Row],[pledged]]/Table1[[#This Row],[backers_count]],"NA")</f>
        <v>27.009016393442622</v>
      </c>
      <c r="L101" t="s">
        <v>26</v>
      </c>
      <c r="M101" t="s">
        <v>27</v>
      </c>
      <c r="N101">
        <v>1437973200</v>
      </c>
      <c r="O101">
        <v>1438318800</v>
      </c>
      <c r="P101" s="11">
        <f>+(((Table1[[#This Row],[launched_at]]/60)/60)/24)+DATE(1970,1,1)</f>
        <v>42212.208333333328</v>
      </c>
      <c r="Q101" s="11">
        <f>+(((Table1[[#This Row],[deadline]]/60)/60)/24)+DATE(1970,1,1)</f>
        <v>42216.208333333328</v>
      </c>
      <c r="R101" t="b">
        <v>0</v>
      </c>
      <c r="S101" t="b">
        <v>0</v>
      </c>
      <c r="T101" t="s">
        <v>89</v>
      </c>
      <c r="U101" t="str">
        <f>+LEFT(Table1[[#This Row],[category &amp; sub-category]],FIND("/",Table1[[#This Row],[category &amp; sub-category]])-1)</f>
        <v>games</v>
      </c>
      <c r="V101" t="str">
        <f>+RIGHT(Table1[[#This Row],[category &amp; sub-category]],LEN(Table1[[#This Row],[category &amp; sub-category]])-SEARCH("/",Table1[[#This Row],[category &amp; sub-category]]))</f>
        <v>video games</v>
      </c>
    </row>
    <row r="102" spans="2:22" ht="15.75" customHeight="1" x14ac:dyDescent="0.25">
      <c r="B102">
        <v>99</v>
      </c>
      <c r="C102" t="s">
        <v>247</v>
      </c>
      <c r="D102" s="3" t="s">
        <v>248</v>
      </c>
      <c r="E102" s="6">
        <v>7600</v>
      </c>
      <c r="F102" s="6">
        <v>14951</v>
      </c>
      <c r="G102" s="17">
        <f>ROUND(Table1[[#This Row],[pledged]]/Table1[[#This Row],[goal]]*100,2)</f>
        <v>196.72</v>
      </c>
      <c r="H102" s="5">
        <f>+Table1[[#This Row],[pledged]]/Table1[[#This Row],[goal]]</f>
        <v>1.9672368421052631</v>
      </c>
      <c r="I102" t="s">
        <v>20</v>
      </c>
      <c r="J102">
        <v>164</v>
      </c>
      <c r="K102" s="8">
        <f>IFERROR(Table1[[#This Row],[pledged]]/Table1[[#This Row],[backers_count]],"NA")</f>
        <v>91.16463414634147</v>
      </c>
      <c r="L102" t="s">
        <v>21</v>
      </c>
      <c r="M102" t="s">
        <v>22</v>
      </c>
      <c r="N102">
        <v>1416895200</v>
      </c>
      <c r="O102">
        <v>1419400800</v>
      </c>
      <c r="P102" s="11">
        <f>+(((Table1[[#This Row],[launched_at]]/60)/60)/24)+DATE(1970,1,1)</f>
        <v>41968.25</v>
      </c>
      <c r="Q102" s="11">
        <f>+(((Table1[[#This Row],[deadline]]/60)/60)/24)+DATE(1970,1,1)</f>
        <v>41997.25</v>
      </c>
      <c r="R102" t="b">
        <v>0</v>
      </c>
      <c r="S102" t="b">
        <v>0</v>
      </c>
      <c r="T102" t="s">
        <v>33</v>
      </c>
      <c r="U102" t="str">
        <f>+LEFT(Table1[[#This Row],[category &amp; sub-category]],FIND("/",Table1[[#This Row],[category &amp; sub-category]])-1)</f>
        <v>theater</v>
      </c>
      <c r="V102" t="str">
        <f>+RIGHT(Table1[[#This Row],[category &amp; sub-category]],LEN(Table1[[#This Row],[category &amp; sub-category]])-SEARCH("/",Table1[[#This Row],[category &amp; sub-category]]))</f>
        <v>plays</v>
      </c>
    </row>
    <row r="103" spans="2:22" ht="15.75" customHeight="1" x14ac:dyDescent="0.25">
      <c r="B103">
        <v>100</v>
      </c>
      <c r="C103" t="s">
        <v>249</v>
      </c>
      <c r="D103" s="3" t="s">
        <v>250</v>
      </c>
      <c r="E103" s="6">
        <v>100</v>
      </c>
      <c r="F103" s="6">
        <v>1</v>
      </c>
      <c r="G103" s="17">
        <f>ROUND(Table1[[#This Row],[pledged]]/Table1[[#This Row],[goal]]*100,2)</f>
        <v>1</v>
      </c>
      <c r="H103" s="5">
        <f>+Table1[[#This Row],[pledged]]/Table1[[#This Row],[goal]]</f>
        <v>0.01</v>
      </c>
      <c r="I103" t="s">
        <v>14</v>
      </c>
      <c r="J103">
        <v>1</v>
      </c>
      <c r="K103" s="8">
        <f>IFERROR(Table1[[#This Row],[pledged]]/Table1[[#This Row],[backers_count]],"NA")</f>
        <v>1</v>
      </c>
      <c r="L103" t="s">
        <v>21</v>
      </c>
      <c r="M103" t="s">
        <v>22</v>
      </c>
      <c r="N103">
        <v>1319000400</v>
      </c>
      <c r="O103">
        <v>1320555600</v>
      </c>
      <c r="P103" s="11">
        <f>+(((Table1[[#This Row],[launched_at]]/60)/60)/24)+DATE(1970,1,1)</f>
        <v>40835.208333333336</v>
      </c>
      <c r="Q103" s="11">
        <f>+(((Table1[[#This Row],[deadline]]/60)/60)/24)+DATE(1970,1,1)</f>
        <v>40853.208333333336</v>
      </c>
      <c r="R103" t="b">
        <v>0</v>
      </c>
      <c r="S103" t="b">
        <v>0</v>
      </c>
      <c r="T103" t="s">
        <v>33</v>
      </c>
      <c r="U103" t="str">
        <f>+LEFT(Table1[[#This Row],[category &amp; sub-category]],FIND("/",Table1[[#This Row],[category &amp; sub-category]])-1)</f>
        <v>theater</v>
      </c>
      <c r="V103" t="str">
        <f>+RIGHT(Table1[[#This Row],[category &amp; sub-category]],LEN(Table1[[#This Row],[category &amp; sub-category]])-SEARCH("/",Table1[[#This Row],[category &amp; sub-category]]))</f>
        <v>plays</v>
      </c>
    </row>
    <row r="104" spans="2:22" ht="15.75" customHeight="1" x14ac:dyDescent="0.25">
      <c r="B104">
        <v>101</v>
      </c>
      <c r="C104" t="s">
        <v>251</v>
      </c>
      <c r="D104" s="3" t="s">
        <v>252</v>
      </c>
      <c r="E104" s="6">
        <v>900</v>
      </c>
      <c r="F104" s="6">
        <v>9193</v>
      </c>
      <c r="G104" s="17">
        <f>ROUND(Table1[[#This Row],[pledged]]/Table1[[#This Row],[goal]]*100,2)</f>
        <v>1021.44</v>
      </c>
      <c r="H104" s="5">
        <f>+Table1[[#This Row],[pledged]]/Table1[[#This Row],[goal]]</f>
        <v>10.214444444444444</v>
      </c>
      <c r="I104" t="s">
        <v>20</v>
      </c>
      <c r="J104">
        <v>164</v>
      </c>
      <c r="K104" s="8">
        <f>IFERROR(Table1[[#This Row],[pledged]]/Table1[[#This Row],[backers_count]],"NA")</f>
        <v>56.054878048780488</v>
      </c>
      <c r="L104" t="s">
        <v>21</v>
      </c>
      <c r="M104" t="s">
        <v>22</v>
      </c>
      <c r="N104">
        <v>1424498400</v>
      </c>
      <c r="O104">
        <v>1425103200</v>
      </c>
      <c r="P104" s="11">
        <f>+(((Table1[[#This Row],[launched_at]]/60)/60)/24)+DATE(1970,1,1)</f>
        <v>42056.25</v>
      </c>
      <c r="Q104" s="11">
        <f>+(((Table1[[#This Row],[deadline]]/60)/60)/24)+DATE(1970,1,1)</f>
        <v>42063.25</v>
      </c>
      <c r="R104" t="b">
        <v>0</v>
      </c>
      <c r="S104" t="b">
        <v>1</v>
      </c>
      <c r="T104" t="s">
        <v>50</v>
      </c>
      <c r="U104" t="str">
        <f>+LEFT(Table1[[#This Row],[category &amp; sub-category]],FIND("/",Table1[[#This Row],[category &amp; sub-category]])-1)</f>
        <v>music</v>
      </c>
      <c r="V104" t="str">
        <f>+RIGHT(Table1[[#This Row],[category &amp; sub-category]],LEN(Table1[[#This Row],[category &amp; sub-category]])-SEARCH("/",Table1[[#This Row],[category &amp; sub-category]]))</f>
        <v>electric music</v>
      </c>
    </row>
    <row r="105" spans="2:22" ht="15.75" customHeight="1" x14ac:dyDescent="0.25">
      <c r="B105">
        <v>102</v>
      </c>
      <c r="C105" t="s">
        <v>253</v>
      </c>
      <c r="D105" s="3" t="s">
        <v>254</v>
      </c>
      <c r="E105" s="6">
        <v>3700</v>
      </c>
      <c r="F105" s="6">
        <v>10422</v>
      </c>
      <c r="G105" s="17">
        <f>ROUND(Table1[[#This Row],[pledged]]/Table1[[#This Row],[goal]]*100,2)</f>
        <v>281.68</v>
      </c>
      <c r="H105" s="5">
        <f>+Table1[[#This Row],[pledged]]/Table1[[#This Row],[goal]]</f>
        <v>2.8167567567567566</v>
      </c>
      <c r="I105" t="s">
        <v>20</v>
      </c>
      <c r="J105">
        <v>336</v>
      </c>
      <c r="K105" s="8">
        <f>IFERROR(Table1[[#This Row],[pledged]]/Table1[[#This Row],[backers_count]],"NA")</f>
        <v>31.017857142857142</v>
      </c>
      <c r="L105" t="s">
        <v>21</v>
      </c>
      <c r="M105" t="s">
        <v>22</v>
      </c>
      <c r="N105">
        <v>1526274000</v>
      </c>
      <c r="O105">
        <v>1526878800</v>
      </c>
      <c r="P105" s="11">
        <f>+(((Table1[[#This Row],[launched_at]]/60)/60)/24)+DATE(1970,1,1)</f>
        <v>43234.208333333328</v>
      </c>
      <c r="Q105" s="11">
        <f>+(((Table1[[#This Row],[deadline]]/60)/60)/24)+DATE(1970,1,1)</f>
        <v>43241.208333333328</v>
      </c>
      <c r="R105" t="b">
        <v>0</v>
      </c>
      <c r="S105" t="b">
        <v>1</v>
      </c>
      <c r="T105" t="s">
        <v>65</v>
      </c>
      <c r="U105" t="str">
        <f>+LEFT(Table1[[#This Row],[category &amp; sub-category]],FIND("/",Table1[[#This Row],[category &amp; sub-category]])-1)</f>
        <v>technology</v>
      </c>
      <c r="V105" t="str">
        <f>+RIGHT(Table1[[#This Row],[category &amp; sub-category]],LEN(Table1[[#This Row],[category &amp; sub-category]])-SEARCH("/",Table1[[#This Row],[category &amp; sub-category]]))</f>
        <v>wearables</v>
      </c>
    </row>
    <row r="106" spans="2:22" ht="15.75" customHeight="1" x14ac:dyDescent="0.25">
      <c r="B106">
        <v>103</v>
      </c>
      <c r="C106" t="s">
        <v>255</v>
      </c>
      <c r="D106" s="3" t="s">
        <v>256</v>
      </c>
      <c r="E106" s="6">
        <v>10000</v>
      </c>
      <c r="F106" s="6">
        <v>2461</v>
      </c>
      <c r="G106" s="17">
        <f>ROUND(Table1[[#This Row],[pledged]]/Table1[[#This Row],[goal]]*100,2)</f>
        <v>24.61</v>
      </c>
      <c r="H106" s="5">
        <f>+Table1[[#This Row],[pledged]]/Table1[[#This Row],[goal]]</f>
        <v>0.24610000000000001</v>
      </c>
      <c r="I106" t="s">
        <v>14</v>
      </c>
      <c r="J106">
        <v>37</v>
      </c>
      <c r="K106" s="8">
        <f>IFERROR(Table1[[#This Row],[pledged]]/Table1[[#This Row],[backers_count]],"NA")</f>
        <v>66.513513513513516</v>
      </c>
      <c r="L106" t="s">
        <v>107</v>
      </c>
      <c r="M106" t="s">
        <v>108</v>
      </c>
      <c r="N106">
        <v>1287896400</v>
      </c>
      <c r="O106">
        <v>1288674000</v>
      </c>
      <c r="P106" s="11">
        <f>+(((Table1[[#This Row],[launched_at]]/60)/60)/24)+DATE(1970,1,1)</f>
        <v>40475.208333333336</v>
      </c>
      <c r="Q106" s="11">
        <f>+(((Table1[[#This Row],[deadline]]/60)/60)/24)+DATE(1970,1,1)</f>
        <v>40484.208333333336</v>
      </c>
      <c r="R106" t="b">
        <v>0</v>
      </c>
      <c r="S106" t="b">
        <v>0</v>
      </c>
      <c r="T106" t="s">
        <v>50</v>
      </c>
      <c r="U106" t="str">
        <f>+LEFT(Table1[[#This Row],[category &amp; sub-category]],FIND("/",Table1[[#This Row],[category &amp; sub-category]])-1)</f>
        <v>music</v>
      </c>
      <c r="V106" t="str">
        <f>+RIGHT(Table1[[#This Row],[category &amp; sub-category]],LEN(Table1[[#This Row],[category &amp; sub-category]])-SEARCH("/",Table1[[#This Row],[category &amp; sub-category]]))</f>
        <v>electric music</v>
      </c>
    </row>
    <row r="107" spans="2:22" ht="15.75" customHeight="1" x14ac:dyDescent="0.25">
      <c r="B107">
        <v>104</v>
      </c>
      <c r="C107" t="s">
        <v>257</v>
      </c>
      <c r="D107" s="3" t="s">
        <v>258</v>
      </c>
      <c r="E107" s="6">
        <v>119200</v>
      </c>
      <c r="F107" s="6">
        <v>170623</v>
      </c>
      <c r="G107" s="17">
        <f>ROUND(Table1[[#This Row],[pledged]]/Table1[[#This Row],[goal]]*100,2)</f>
        <v>143.13999999999999</v>
      </c>
      <c r="H107" s="5">
        <f>+Table1[[#This Row],[pledged]]/Table1[[#This Row],[goal]]</f>
        <v>1.4314010067114094</v>
      </c>
      <c r="I107" t="s">
        <v>20</v>
      </c>
      <c r="J107">
        <v>1917</v>
      </c>
      <c r="K107" s="8">
        <f>IFERROR(Table1[[#This Row],[pledged]]/Table1[[#This Row],[backers_count]],"NA")</f>
        <v>89.005216484089729</v>
      </c>
      <c r="L107" t="s">
        <v>21</v>
      </c>
      <c r="M107" t="s">
        <v>22</v>
      </c>
      <c r="N107">
        <v>1495515600</v>
      </c>
      <c r="O107">
        <v>1495602000</v>
      </c>
      <c r="P107" s="11">
        <f>+(((Table1[[#This Row],[launched_at]]/60)/60)/24)+DATE(1970,1,1)</f>
        <v>42878.208333333328</v>
      </c>
      <c r="Q107" s="11">
        <f>+(((Table1[[#This Row],[deadline]]/60)/60)/24)+DATE(1970,1,1)</f>
        <v>42879.208333333328</v>
      </c>
      <c r="R107" t="b">
        <v>0</v>
      </c>
      <c r="S107" t="b">
        <v>0</v>
      </c>
      <c r="T107" t="s">
        <v>60</v>
      </c>
      <c r="U107" t="str">
        <f>+LEFT(Table1[[#This Row],[category &amp; sub-category]],FIND("/",Table1[[#This Row],[category &amp; sub-category]])-1)</f>
        <v>music</v>
      </c>
      <c r="V107" t="str">
        <f>+RIGHT(Table1[[#This Row],[category &amp; sub-category]],LEN(Table1[[#This Row],[category &amp; sub-category]])-SEARCH("/",Table1[[#This Row],[category &amp; sub-category]]))</f>
        <v>indie rock</v>
      </c>
    </row>
    <row r="108" spans="2:22" ht="15.75" customHeight="1" x14ac:dyDescent="0.25">
      <c r="B108">
        <v>105</v>
      </c>
      <c r="C108" t="s">
        <v>259</v>
      </c>
      <c r="D108" s="3" t="s">
        <v>260</v>
      </c>
      <c r="E108" s="6">
        <v>6800</v>
      </c>
      <c r="F108" s="6">
        <v>9829</v>
      </c>
      <c r="G108" s="17">
        <f>ROUND(Table1[[#This Row],[pledged]]/Table1[[#This Row],[goal]]*100,2)</f>
        <v>144.54</v>
      </c>
      <c r="H108" s="5">
        <f>+Table1[[#This Row],[pledged]]/Table1[[#This Row],[goal]]</f>
        <v>1.4454411764705883</v>
      </c>
      <c r="I108" t="s">
        <v>20</v>
      </c>
      <c r="J108">
        <v>95</v>
      </c>
      <c r="K108" s="8">
        <f>IFERROR(Table1[[#This Row],[pledged]]/Table1[[#This Row],[backers_count]],"NA")</f>
        <v>103.46315789473684</v>
      </c>
      <c r="L108" t="s">
        <v>21</v>
      </c>
      <c r="M108" t="s">
        <v>22</v>
      </c>
      <c r="N108">
        <v>1364878800</v>
      </c>
      <c r="O108">
        <v>1366434000</v>
      </c>
      <c r="P108" s="11">
        <f>+(((Table1[[#This Row],[launched_at]]/60)/60)/24)+DATE(1970,1,1)</f>
        <v>41366.208333333336</v>
      </c>
      <c r="Q108" s="11">
        <f>+(((Table1[[#This Row],[deadline]]/60)/60)/24)+DATE(1970,1,1)</f>
        <v>41384.208333333336</v>
      </c>
      <c r="R108" t="b">
        <v>0</v>
      </c>
      <c r="S108" t="b">
        <v>0</v>
      </c>
      <c r="T108" t="s">
        <v>28</v>
      </c>
      <c r="U108" t="str">
        <f>+LEFT(Table1[[#This Row],[category &amp; sub-category]],FIND("/",Table1[[#This Row],[category &amp; sub-category]])-1)</f>
        <v>technology</v>
      </c>
      <c r="V108" t="str">
        <f>+RIGHT(Table1[[#This Row],[category &amp; sub-category]],LEN(Table1[[#This Row],[category &amp; sub-category]])-SEARCH("/",Table1[[#This Row],[category &amp; sub-category]]))</f>
        <v>web</v>
      </c>
    </row>
    <row r="109" spans="2:22" ht="15.75" customHeight="1" x14ac:dyDescent="0.25">
      <c r="B109">
        <v>106</v>
      </c>
      <c r="C109" t="s">
        <v>261</v>
      </c>
      <c r="D109" s="3" t="s">
        <v>262</v>
      </c>
      <c r="E109" s="6">
        <v>3900</v>
      </c>
      <c r="F109" s="6">
        <v>14006</v>
      </c>
      <c r="G109" s="17">
        <f>ROUND(Table1[[#This Row],[pledged]]/Table1[[#This Row],[goal]]*100,2)</f>
        <v>359.13</v>
      </c>
      <c r="H109" s="5">
        <f>+Table1[[#This Row],[pledged]]/Table1[[#This Row],[goal]]</f>
        <v>3.5912820512820511</v>
      </c>
      <c r="I109" t="s">
        <v>20</v>
      </c>
      <c r="J109">
        <v>147</v>
      </c>
      <c r="K109" s="8">
        <f>IFERROR(Table1[[#This Row],[pledged]]/Table1[[#This Row],[backers_count]],"NA")</f>
        <v>95.278911564625844</v>
      </c>
      <c r="L109" t="s">
        <v>21</v>
      </c>
      <c r="M109" t="s">
        <v>22</v>
      </c>
      <c r="N109">
        <v>1567918800</v>
      </c>
      <c r="O109">
        <v>1568350800</v>
      </c>
      <c r="P109" s="11">
        <f>+(((Table1[[#This Row],[launched_at]]/60)/60)/24)+DATE(1970,1,1)</f>
        <v>43716.208333333328</v>
      </c>
      <c r="Q109" s="11">
        <f>+(((Table1[[#This Row],[deadline]]/60)/60)/24)+DATE(1970,1,1)</f>
        <v>43721.208333333328</v>
      </c>
      <c r="R109" t="b">
        <v>0</v>
      </c>
      <c r="S109" t="b">
        <v>0</v>
      </c>
      <c r="T109" t="s">
        <v>33</v>
      </c>
      <c r="U109" t="str">
        <f>+LEFT(Table1[[#This Row],[category &amp; sub-category]],FIND("/",Table1[[#This Row],[category &amp; sub-category]])-1)</f>
        <v>theater</v>
      </c>
      <c r="V109" t="str">
        <f>+RIGHT(Table1[[#This Row],[category &amp; sub-category]],LEN(Table1[[#This Row],[category &amp; sub-category]])-SEARCH("/",Table1[[#This Row],[category &amp; sub-category]]))</f>
        <v>plays</v>
      </c>
    </row>
    <row r="110" spans="2:22" ht="15.75" customHeight="1" x14ac:dyDescent="0.25">
      <c r="B110">
        <v>107</v>
      </c>
      <c r="C110" t="s">
        <v>263</v>
      </c>
      <c r="D110" s="3" t="s">
        <v>264</v>
      </c>
      <c r="E110" s="6">
        <v>3500</v>
      </c>
      <c r="F110" s="6">
        <v>6527</v>
      </c>
      <c r="G110" s="17">
        <f>ROUND(Table1[[#This Row],[pledged]]/Table1[[#This Row],[goal]]*100,2)</f>
        <v>186.49</v>
      </c>
      <c r="H110" s="5">
        <f>+Table1[[#This Row],[pledged]]/Table1[[#This Row],[goal]]</f>
        <v>1.8648571428571428</v>
      </c>
      <c r="I110" t="s">
        <v>20</v>
      </c>
      <c r="J110">
        <v>86</v>
      </c>
      <c r="K110" s="8">
        <f>IFERROR(Table1[[#This Row],[pledged]]/Table1[[#This Row],[backers_count]],"NA")</f>
        <v>75.895348837209298</v>
      </c>
      <c r="L110" t="s">
        <v>21</v>
      </c>
      <c r="M110" t="s">
        <v>22</v>
      </c>
      <c r="N110">
        <v>1524459600</v>
      </c>
      <c r="O110">
        <v>1525928400</v>
      </c>
      <c r="P110" s="11">
        <f>+(((Table1[[#This Row],[launched_at]]/60)/60)/24)+DATE(1970,1,1)</f>
        <v>43213.208333333328</v>
      </c>
      <c r="Q110" s="11">
        <f>+(((Table1[[#This Row],[deadline]]/60)/60)/24)+DATE(1970,1,1)</f>
        <v>43230.208333333328</v>
      </c>
      <c r="R110" t="b">
        <v>0</v>
      </c>
      <c r="S110" t="b">
        <v>1</v>
      </c>
      <c r="T110" t="s">
        <v>33</v>
      </c>
      <c r="U110" t="str">
        <f>+LEFT(Table1[[#This Row],[category &amp; sub-category]],FIND("/",Table1[[#This Row],[category &amp; sub-category]])-1)</f>
        <v>theater</v>
      </c>
      <c r="V110" t="str">
        <f>+RIGHT(Table1[[#This Row],[category &amp; sub-category]],LEN(Table1[[#This Row],[category &amp; sub-category]])-SEARCH("/",Table1[[#This Row],[category &amp; sub-category]]))</f>
        <v>plays</v>
      </c>
    </row>
    <row r="111" spans="2:22" ht="15.75" customHeight="1" x14ac:dyDescent="0.25">
      <c r="B111">
        <v>108</v>
      </c>
      <c r="C111" t="s">
        <v>265</v>
      </c>
      <c r="D111" s="3" t="s">
        <v>266</v>
      </c>
      <c r="E111" s="6">
        <v>1500</v>
      </c>
      <c r="F111" s="6">
        <v>8929</v>
      </c>
      <c r="G111" s="17">
        <f>ROUND(Table1[[#This Row],[pledged]]/Table1[[#This Row],[goal]]*100,2)</f>
        <v>595.27</v>
      </c>
      <c r="H111" s="5">
        <f>+Table1[[#This Row],[pledged]]/Table1[[#This Row],[goal]]</f>
        <v>5.9526666666666666</v>
      </c>
      <c r="I111" t="s">
        <v>20</v>
      </c>
      <c r="J111">
        <v>83</v>
      </c>
      <c r="K111" s="8">
        <f>IFERROR(Table1[[#This Row],[pledged]]/Table1[[#This Row],[backers_count]],"NA")</f>
        <v>107.57831325301204</v>
      </c>
      <c r="L111" t="s">
        <v>21</v>
      </c>
      <c r="M111" t="s">
        <v>22</v>
      </c>
      <c r="N111">
        <v>1333688400</v>
      </c>
      <c r="O111">
        <v>1336885200</v>
      </c>
      <c r="P111" s="11">
        <f>+(((Table1[[#This Row],[launched_at]]/60)/60)/24)+DATE(1970,1,1)</f>
        <v>41005.208333333336</v>
      </c>
      <c r="Q111" s="11">
        <f>+(((Table1[[#This Row],[deadline]]/60)/60)/24)+DATE(1970,1,1)</f>
        <v>41042.208333333336</v>
      </c>
      <c r="R111" t="b">
        <v>0</v>
      </c>
      <c r="S111" t="b">
        <v>0</v>
      </c>
      <c r="T111" t="s">
        <v>42</v>
      </c>
      <c r="U111" t="str">
        <f>+LEFT(Table1[[#This Row],[category &amp; sub-category]],FIND("/",Table1[[#This Row],[category &amp; sub-category]])-1)</f>
        <v>film &amp; video</v>
      </c>
      <c r="V111" t="str">
        <f>+RIGHT(Table1[[#This Row],[category &amp; sub-category]],LEN(Table1[[#This Row],[category &amp; sub-category]])-SEARCH("/",Table1[[#This Row],[category &amp; sub-category]]))</f>
        <v>documentary</v>
      </c>
    </row>
    <row r="112" spans="2:22" ht="15.75" customHeight="1" x14ac:dyDescent="0.25">
      <c r="B112">
        <v>109</v>
      </c>
      <c r="C112" t="s">
        <v>267</v>
      </c>
      <c r="D112" s="3" t="s">
        <v>268</v>
      </c>
      <c r="E112" s="6">
        <v>5200</v>
      </c>
      <c r="F112" s="6">
        <v>3079</v>
      </c>
      <c r="G112" s="17">
        <f>ROUND(Table1[[#This Row],[pledged]]/Table1[[#This Row],[goal]]*100,2)</f>
        <v>59.21</v>
      </c>
      <c r="H112" s="5">
        <f>+Table1[[#This Row],[pledged]]/Table1[[#This Row],[goal]]</f>
        <v>0.5921153846153846</v>
      </c>
      <c r="I112" t="s">
        <v>14</v>
      </c>
      <c r="J112">
        <v>60</v>
      </c>
      <c r="K112" s="8">
        <f>IFERROR(Table1[[#This Row],[pledged]]/Table1[[#This Row],[backers_count]],"NA")</f>
        <v>51.31666666666667</v>
      </c>
      <c r="L112" t="s">
        <v>21</v>
      </c>
      <c r="M112" t="s">
        <v>22</v>
      </c>
      <c r="N112">
        <v>1389506400</v>
      </c>
      <c r="O112">
        <v>1389679200</v>
      </c>
      <c r="P112" s="11">
        <f>+(((Table1[[#This Row],[launched_at]]/60)/60)/24)+DATE(1970,1,1)</f>
        <v>41651.25</v>
      </c>
      <c r="Q112" s="11">
        <f>+(((Table1[[#This Row],[deadline]]/60)/60)/24)+DATE(1970,1,1)</f>
        <v>41653.25</v>
      </c>
      <c r="R112" t="b">
        <v>0</v>
      </c>
      <c r="S112" t="b">
        <v>0</v>
      </c>
      <c r="T112" t="s">
        <v>269</v>
      </c>
      <c r="U112" t="str">
        <f>+LEFT(Table1[[#This Row],[category &amp; sub-category]],FIND("/",Table1[[#This Row],[category &amp; sub-category]])-1)</f>
        <v>film &amp; video</v>
      </c>
      <c r="V112" t="str">
        <f>+RIGHT(Table1[[#This Row],[category &amp; sub-category]],LEN(Table1[[#This Row],[category &amp; sub-category]])-SEARCH("/",Table1[[#This Row],[category &amp; sub-category]]))</f>
        <v>television</v>
      </c>
    </row>
    <row r="113" spans="2:22" ht="15.75" customHeight="1" x14ac:dyDescent="0.25">
      <c r="B113">
        <v>110</v>
      </c>
      <c r="C113" t="s">
        <v>270</v>
      </c>
      <c r="D113" s="3" t="s">
        <v>271</v>
      </c>
      <c r="E113" s="6">
        <v>142400</v>
      </c>
      <c r="F113" s="6">
        <v>21307</v>
      </c>
      <c r="G113" s="17">
        <f>ROUND(Table1[[#This Row],[pledged]]/Table1[[#This Row],[goal]]*100,2)</f>
        <v>14.96</v>
      </c>
      <c r="H113" s="5">
        <f>+Table1[[#This Row],[pledged]]/Table1[[#This Row],[goal]]</f>
        <v>0.14962780898876404</v>
      </c>
      <c r="I113" t="s">
        <v>14</v>
      </c>
      <c r="J113">
        <v>296</v>
      </c>
      <c r="K113" s="8">
        <f>IFERROR(Table1[[#This Row],[pledged]]/Table1[[#This Row],[backers_count]],"NA")</f>
        <v>71.983108108108112</v>
      </c>
      <c r="L113" t="s">
        <v>21</v>
      </c>
      <c r="M113" t="s">
        <v>22</v>
      </c>
      <c r="N113">
        <v>1536642000</v>
      </c>
      <c r="O113">
        <v>1538283600</v>
      </c>
      <c r="P113" s="11">
        <f>+(((Table1[[#This Row],[launched_at]]/60)/60)/24)+DATE(1970,1,1)</f>
        <v>43354.208333333328</v>
      </c>
      <c r="Q113" s="11">
        <f>+(((Table1[[#This Row],[deadline]]/60)/60)/24)+DATE(1970,1,1)</f>
        <v>43373.208333333328</v>
      </c>
      <c r="R113" t="b">
        <v>0</v>
      </c>
      <c r="S113" t="b">
        <v>0</v>
      </c>
      <c r="T113" t="s">
        <v>17</v>
      </c>
      <c r="U113" t="str">
        <f>+LEFT(Table1[[#This Row],[category &amp; sub-category]],FIND("/",Table1[[#This Row],[category &amp; sub-category]])-1)</f>
        <v>food</v>
      </c>
      <c r="V113" t="str">
        <f>+RIGHT(Table1[[#This Row],[category &amp; sub-category]],LEN(Table1[[#This Row],[category &amp; sub-category]])-SEARCH("/",Table1[[#This Row],[category &amp; sub-category]]))</f>
        <v>food trucks</v>
      </c>
    </row>
    <row r="114" spans="2:22" ht="15.75" customHeight="1" x14ac:dyDescent="0.25">
      <c r="B114">
        <v>111</v>
      </c>
      <c r="C114" t="s">
        <v>272</v>
      </c>
      <c r="D114" s="3" t="s">
        <v>273</v>
      </c>
      <c r="E114" s="6">
        <v>61400</v>
      </c>
      <c r="F114" s="6">
        <v>73653</v>
      </c>
      <c r="G114" s="17">
        <f>ROUND(Table1[[#This Row],[pledged]]/Table1[[#This Row],[goal]]*100,2)</f>
        <v>119.96</v>
      </c>
      <c r="H114" s="5">
        <f>+Table1[[#This Row],[pledged]]/Table1[[#This Row],[goal]]</f>
        <v>1.1995602605863191</v>
      </c>
      <c r="I114" t="s">
        <v>20</v>
      </c>
      <c r="J114">
        <v>676</v>
      </c>
      <c r="K114" s="8">
        <f>IFERROR(Table1[[#This Row],[pledged]]/Table1[[#This Row],[backers_count]],"NA")</f>
        <v>108.95414201183432</v>
      </c>
      <c r="L114" t="s">
        <v>21</v>
      </c>
      <c r="M114" t="s">
        <v>22</v>
      </c>
      <c r="N114">
        <v>1348290000</v>
      </c>
      <c r="O114">
        <v>1348808400</v>
      </c>
      <c r="P114" s="11">
        <f>+(((Table1[[#This Row],[launched_at]]/60)/60)/24)+DATE(1970,1,1)</f>
        <v>41174.208333333336</v>
      </c>
      <c r="Q114" s="11">
        <f>+(((Table1[[#This Row],[deadline]]/60)/60)/24)+DATE(1970,1,1)</f>
        <v>41180.208333333336</v>
      </c>
      <c r="R114" t="b">
        <v>0</v>
      </c>
      <c r="S114" t="b">
        <v>0</v>
      </c>
      <c r="T114" t="s">
        <v>133</v>
      </c>
      <c r="U114" t="str">
        <f>+LEFT(Table1[[#This Row],[category &amp; sub-category]],FIND("/",Table1[[#This Row],[category &amp; sub-category]])-1)</f>
        <v>publishing</v>
      </c>
      <c r="V114" t="str">
        <f>+RIGHT(Table1[[#This Row],[category &amp; sub-category]],LEN(Table1[[#This Row],[category &amp; sub-category]])-SEARCH("/",Table1[[#This Row],[category &amp; sub-category]]))</f>
        <v>radio &amp; podcasts</v>
      </c>
    </row>
    <row r="115" spans="2:22" ht="15.75" customHeight="1" x14ac:dyDescent="0.25">
      <c r="B115">
        <v>112</v>
      </c>
      <c r="C115" t="s">
        <v>274</v>
      </c>
      <c r="D115" s="3" t="s">
        <v>275</v>
      </c>
      <c r="E115" s="6">
        <v>4700</v>
      </c>
      <c r="F115" s="6">
        <v>12635</v>
      </c>
      <c r="G115" s="17">
        <f>ROUND(Table1[[#This Row],[pledged]]/Table1[[#This Row],[goal]]*100,2)</f>
        <v>268.83</v>
      </c>
      <c r="H115" s="5">
        <f>+Table1[[#This Row],[pledged]]/Table1[[#This Row],[goal]]</f>
        <v>2.6882978723404256</v>
      </c>
      <c r="I115" t="s">
        <v>20</v>
      </c>
      <c r="J115">
        <v>361</v>
      </c>
      <c r="K115" s="8">
        <f>IFERROR(Table1[[#This Row],[pledged]]/Table1[[#This Row],[backers_count]],"NA")</f>
        <v>35</v>
      </c>
      <c r="L115" t="s">
        <v>26</v>
      </c>
      <c r="M115" t="s">
        <v>27</v>
      </c>
      <c r="N115">
        <v>1408856400</v>
      </c>
      <c r="O115">
        <v>1410152400</v>
      </c>
      <c r="P115" s="11">
        <f>+(((Table1[[#This Row],[launched_at]]/60)/60)/24)+DATE(1970,1,1)</f>
        <v>41875.208333333336</v>
      </c>
      <c r="Q115" s="11">
        <f>+(((Table1[[#This Row],[deadline]]/60)/60)/24)+DATE(1970,1,1)</f>
        <v>41890.208333333336</v>
      </c>
      <c r="R115" t="b">
        <v>0</v>
      </c>
      <c r="S115" t="b">
        <v>0</v>
      </c>
      <c r="T115" t="s">
        <v>28</v>
      </c>
      <c r="U115" t="str">
        <f>+LEFT(Table1[[#This Row],[category &amp; sub-category]],FIND("/",Table1[[#This Row],[category &amp; sub-category]])-1)</f>
        <v>technology</v>
      </c>
      <c r="V115" t="str">
        <f>+RIGHT(Table1[[#This Row],[category &amp; sub-category]],LEN(Table1[[#This Row],[category &amp; sub-category]])-SEARCH("/",Table1[[#This Row],[category &amp; sub-category]]))</f>
        <v>web</v>
      </c>
    </row>
    <row r="116" spans="2:22" ht="15.75" customHeight="1" x14ac:dyDescent="0.25">
      <c r="B116">
        <v>113</v>
      </c>
      <c r="C116" t="s">
        <v>276</v>
      </c>
      <c r="D116" s="3" t="s">
        <v>277</v>
      </c>
      <c r="E116" s="6">
        <v>3300</v>
      </c>
      <c r="F116" s="6">
        <v>12437</v>
      </c>
      <c r="G116" s="17">
        <f>ROUND(Table1[[#This Row],[pledged]]/Table1[[#This Row],[goal]]*100,2)</f>
        <v>376.88</v>
      </c>
      <c r="H116" s="5">
        <f>+Table1[[#This Row],[pledged]]/Table1[[#This Row],[goal]]</f>
        <v>3.7687878787878786</v>
      </c>
      <c r="I116" t="s">
        <v>20</v>
      </c>
      <c r="J116">
        <v>131</v>
      </c>
      <c r="K116" s="8">
        <f>IFERROR(Table1[[#This Row],[pledged]]/Table1[[#This Row],[backers_count]],"NA")</f>
        <v>94.938931297709928</v>
      </c>
      <c r="L116" t="s">
        <v>21</v>
      </c>
      <c r="M116" t="s">
        <v>22</v>
      </c>
      <c r="N116">
        <v>1505192400</v>
      </c>
      <c r="O116">
        <v>1505797200</v>
      </c>
      <c r="P116" s="11">
        <f>+(((Table1[[#This Row],[launched_at]]/60)/60)/24)+DATE(1970,1,1)</f>
        <v>42990.208333333328</v>
      </c>
      <c r="Q116" s="11">
        <f>+(((Table1[[#This Row],[deadline]]/60)/60)/24)+DATE(1970,1,1)</f>
        <v>42997.208333333328</v>
      </c>
      <c r="R116" t="b">
        <v>0</v>
      </c>
      <c r="S116" t="b">
        <v>0</v>
      </c>
      <c r="T116" t="s">
        <v>17</v>
      </c>
      <c r="U116" t="str">
        <f>+LEFT(Table1[[#This Row],[category &amp; sub-category]],FIND("/",Table1[[#This Row],[category &amp; sub-category]])-1)</f>
        <v>food</v>
      </c>
      <c r="V116" t="str">
        <f>+RIGHT(Table1[[#This Row],[category &amp; sub-category]],LEN(Table1[[#This Row],[category &amp; sub-category]])-SEARCH("/",Table1[[#This Row],[category &amp; sub-category]]))</f>
        <v>food trucks</v>
      </c>
    </row>
    <row r="117" spans="2:22" ht="15.75" customHeight="1" x14ac:dyDescent="0.25">
      <c r="B117">
        <v>114</v>
      </c>
      <c r="C117" t="s">
        <v>278</v>
      </c>
      <c r="D117" s="3" t="s">
        <v>279</v>
      </c>
      <c r="E117" s="6">
        <v>1900</v>
      </c>
      <c r="F117" s="6">
        <v>13816</v>
      </c>
      <c r="G117" s="17">
        <f>ROUND(Table1[[#This Row],[pledged]]/Table1[[#This Row],[goal]]*100,2)</f>
        <v>727.16</v>
      </c>
      <c r="H117" s="5">
        <f>+Table1[[#This Row],[pledged]]/Table1[[#This Row],[goal]]</f>
        <v>7.2715789473684209</v>
      </c>
      <c r="I117" t="s">
        <v>20</v>
      </c>
      <c r="J117">
        <v>126</v>
      </c>
      <c r="K117" s="8">
        <f>IFERROR(Table1[[#This Row],[pledged]]/Table1[[#This Row],[backers_count]],"NA")</f>
        <v>109.65079365079364</v>
      </c>
      <c r="L117" t="s">
        <v>21</v>
      </c>
      <c r="M117" t="s">
        <v>22</v>
      </c>
      <c r="N117">
        <v>1554786000</v>
      </c>
      <c r="O117">
        <v>1554872400</v>
      </c>
      <c r="P117" s="11">
        <f>+(((Table1[[#This Row],[launched_at]]/60)/60)/24)+DATE(1970,1,1)</f>
        <v>43564.208333333328</v>
      </c>
      <c r="Q117" s="11">
        <f>+(((Table1[[#This Row],[deadline]]/60)/60)/24)+DATE(1970,1,1)</f>
        <v>43565.208333333328</v>
      </c>
      <c r="R117" t="b">
        <v>0</v>
      </c>
      <c r="S117" t="b">
        <v>1</v>
      </c>
      <c r="T117" t="s">
        <v>65</v>
      </c>
      <c r="U117" t="str">
        <f>+LEFT(Table1[[#This Row],[category &amp; sub-category]],FIND("/",Table1[[#This Row],[category &amp; sub-category]])-1)</f>
        <v>technology</v>
      </c>
      <c r="V117" t="str">
        <f>+RIGHT(Table1[[#This Row],[category &amp; sub-category]],LEN(Table1[[#This Row],[category &amp; sub-category]])-SEARCH("/",Table1[[#This Row],[category &amp; sub-category]]))</f>
        <v>wearables</v>
      </c>
    </row>
    <row r="118" spans="2:22" ht="15.75" customHeight="1" x14ac:dyDescent="0.25">
      <c r="B118">
        <v>115</v>
      </c>
      <c r="C118" t="s">
        <v>280</v>
      </c>
      <c r="D118" s="3" t="s">
        <v>281</v>
      </c>
      <c r="E118" s="6">
        <v>166700</v>
      </c>
      <c r="F118" s="6">
        <v>145382</v>
      </c>
      <c r="G118" s="17">
        <f>ROUND(Table1[[#This Row],[pledged]]/Table1[[#This Row],[goal]]*100,2)</f>
        <v>87.21</v>
      </c>
      <c r="H118" s="5">
        <f>+Table1[[#This Row],[pledged]]/Table1[[#This Row],[goal]]</f>
        <v>0.87211757648470301</v>
      </c>
      <c r="I118" t="s">
        <v>14</v>
      </c>
      <c r="J118">
        <v>3304</v>
      </c>
      <c r="K118" s="8">
        <f>IFERROR(Table1[[#This Row],[pledged]]/Table1[[#This Row],[backers_count]],"NA")</f>
        <v>44.001815980629537</v>
      </c>
      <c r="L118" t="s">
        <v>107</v>
      </c>
      <c r="M118" t="s">
        <v>108</v>
      </c>
      <c r="N118">
        <v>1510898400</v>
      </c>
      <c r="O118">
        <v>1513922400</v>
      </c>
      <c r="P118" s="11">
        <f>+(((Table1[[#This Row],[launched_at]]/60)/60)/24)+DATE(1970,1,1)</f>
        <v>43056.25</v>
      </c>
      <c r="Q118" s="11">
        <f>+(((Table1[[#This Row],[deadline]]/60)/60)/24)+DATE(1970,1,1)</f>
        <v>43091.25</v>
      </c>
      <c r="R118" t="b">
        <v>0</v>
      </c>
      <c r="S118" t="b">
        <v>0</v>
      </c>
      <c r="T118" t="s">
        <v>119</v>
      </c>
      <c r="U118" t="str">
        <f>+LEFT(Table1[[#This Row],[category &amp; sub-category]],FIND("/",Table1[[#This Row],[category &amp; sub-category]])-1)</f>
        <v>publishing</v>
      </c>
      <c r="V118" t="str">
        <f>+RIGHT(Table1[[#This Row],[category &amp; sub-category]],LEN(Table1[[#This Row],[category &amp; sub-category]])-SEARCH("/",Table1[[#This Row],[category &amp; sub-category]]))</f>
        <v>fiction</v>
      </c>
    </row>
    <row r="119" spans="2:22" ht="15.75" customHeight="1" x14ac:dyDescent="0.25">
      <c r="B119">
        <v>116</v>
      </c>
      <c r="C119" t="s">
        <v>282</v>
      </c>
      <c r="D119" s="3" t="s">
        <v>283</v>
      </c>
      <c r="E119" s="6">
        <v>7200</v>
      </c>
      <c r="F119" s="6">
        <v>6336</v>
      </c>
      <c r="G119" s="17">
        <f>ROUND(Table1[[#This Row],[pledged]]/Table1[[#This Row],[goal]]*100,2)</f>
        <v>88</v>
      </c>
      <c r="H119" s="5">
        <f>+Table1[[#This Row],[pledged]]/Table1[[#This Row],[goal]]</f>
        <v>0.88</v>
      </c>
      <c r="I119" t="s">
        <v>14</v>
      </c>
      <c r="J119">
        <v>73</v>
      </c>
      <c r="K119" s="8">
        <f>IFERROR(Table1[[#This Row],[pledged]]/Table1[[#This Row],[backers_count]],"NA")</f>
        <v>86.794520547945211</v>
      </c>
      <c r="L119" t="s">
        <v>21</v>
      </c>
      <c r="M119" t="s">
        <v>22</v>
      </c>
      <c r="N119">
        <v>1442552400</v>
      </c>
      <c r="O119">
        <v>1442638800</v>
      </c>
      <c r="P119" s="11">
        <f>+(((Table1[[#This Row],[launched_at]]/60)/60)/24)+DATE(1970,1,1)</f>
        <v>42265.208333333328</v>
      </c>
      <c r="Q119" s="11">
        <f>+(((Table1[[#This Row],[deadline]]/60)/60)/24)+DATE(1970,1,1)</f>
        <v>42266.208333333328</v>
      </c>
      <c r="R119" t="b">
        <v>0</v>
      </c>
      <c r="S119" t="b">
        <v>0</v>
      </c>
      <c r="T119" t="s">
        <v>33</v>
      </c>
      <c r="U119" t="str">
        <f>+LEFT(Table1[[#This Row],[category &amp; sub-category]],FIND("/",Table1[[#This Row],[category &amp; sub-category]])-1)</f>
        <v>theater</v>
      </c>
      <c r="V119" t="str">
        <f>+RIGHT(Table1[[#This Row],[category &amp; sub-category]],LEN(Table1[[#This Row],[category &amp; sub-category]])-SEARCH("/",Table1[[#This Row],[category &amp; sub-category]]))</f>
        <v>plays</v>
      </c>
    </row>
    <row r="120" spans="2:22" ht="15.75" customHeight="1" x14ac:dyDescent="0.25">
      <c r="B120">
        <v>117</v>
      </c>
      <c r="C120" t="s">
        <v>284</v>
      </c>
      <c r="D120" s="3" t="s">
        <v>285</v>
      </c>
      <c r="E120" s="6">
        <v>4900</v>
      </c>
      <c r="F120" s="6">
        <v>8523</v>
      </c>
      <c r="G120" s="17">
        <f>ROUND(Table1[[#This Row],[pledged]]/Table1[[#This Row],[goal]]*100,2)</f>
        <v>173.94</v>
      </c>
      <c r="H120" s="5">
        <f>+Table1[[#This Row],[pledged]]/Table1[[#This Row],[goal]]</f>
        <v>1.7393877551020409</v>
      </c>
      <c r="I120" t="s">
        <v>20</v>
      </c>
      <c r="J120">
        <v>275</v>
      </c>
      <c r="K120" s="8">
        <f>IFERROR(Table1[[#This Row],[pledged]]/Table1[[#This Row],[backers_count]],"NA")</f>
        <v>30.992727272727272</v>
      </c>
      <c r="L120" t="s">
        <v>21</v>
      </c>
      <c r="M120" t="s">
        <v>22</v>
      </c>
      <c r="N120">
        <v>1316667600</v>
      </c>
      <c r="O120">
        <v>1317186000</v>
      </c>
      <c r="P120" s="11">
        <f>+(((Table1[[#This Row],[launched_at]]/60)/60)/24)+DATE(1970,1,1)</f>
        <v>40808.208333333336</v>
      </c>
      <c r="Q120" s="11">
        <f>+(((Table1[[#This Row],[deadline]]/60)/60)/24)+DATE(1970,1,1)</f>
        <v>40814.208333333336</v>
      </c>
      <c r="R120" t="b">
        <v>0</v>
      </c>
      <c r="S120" t="b">
        <v>0</v>
      </c>
      <c r="T120" t="s">
        <v>269</v>
      </c>
      <c r="U120" t="str">
        <f>+LEFT(Table1[[#This Row],[category &amp; sub-category]],FIND("/",Table1[[#This Row],[category &amp; sub-category]])-1)</f>
        <v>film &amp; video</v>
      </c>
      <c r="V120" t="str">
        <f>+RIGHT(Table1[[#This Row],[category &amp; sub-category]],LEN(Table1[[#This Row],[category &amp; sub-category]])-SEARCH("/",Table1[[#This Row],[category &amp; sub-category]]))</f>
        <v>television</v>
      </c>
    </row>
    <row r="121" spans="2:22" ht="15.75" customHeight="1" x14ac:dyDescent="0.25">
      <c r="B121">
        <v>118</v>
      </c>
      <c r="C121" t="s">
        <v>286</v>
      </c>
      <c r="D121" s="3" t="s">
        <v>287</v>
      </c>
      <c r="E121" s="6">
        <v>5400</v>
      </c>
      <c r="F121" s="6">
        <v>6351</v>
      </c>
      <c r="G121" s="17">
        <f>ROUND(Table1[[#This Row],[pledged]]/Table1[[#This Row],[goal]]*100,2)</f>
        <v>117.61</v>
      </c>
      <c r="H121" s="5">
        <f>+Table1[[#This Row],[pledged]]/Table1[[#This Row],[goal]]</f>
        <v>1.1761111111111111</v>
      </c>
      <c r="I121" t="s">
        <v>20</v>
      </c>
      <c r="J121">
        <v>67</v>
      </c>
      <c r="K121" s="8">
        <f>IFERROR(Table1[[#This Row],[pledged]]/Table1[[#This Row],[backers_count]],"NA")</f>
        <v>94.791044776119406</v>
      </c>
      <c r="L121" t="s">
        <v>21</v>
      </c>
      <c r="M121" t="s">
        <v>22</v>
      </c>
      <c r="N121">
        <v>1390716000</v>
      </c>
      <c r="O121">
        <v>1391234400</v>
      </c>
      <c r="P121" s="11">
        <f>+(((Table1[[#This Row],[launched_at]]/60)/60)/24)+DATE(1970,1,1)</f>
        <v>41665.25</v>
      </c>
      <c r="Q121" s="11">
        <f>+(((Table1[[#This Row],[deadline]]/60)/60)/24)+DATE(1970,1,1)</f>
        <v>41671.25</v>
      </c>
      <c r="R121" t="b">
        <v>0</v>
      </c>
      <c r="S121" t="b">
        <v>0</v>
      </c>
      <c r="T121" t="s">
        <v>122</v>
      </c>
      <c r="U121" t="str">
        <f>+LEFT(Table1[[#This Row],[category &amp; sub-category]],FIND("/",Table1[[#This Row],[category &amp; sub-category]])-1)</f>
        <v>photography</v>
      </c>
      <c r="V121" t="str">
        <f>+RIGHT(Table1[[#This Row],[category &amp; sub-category]],LEN(Table1[[#This Row],[category &amp; sub-category]])-SEARCH("/",Table1[[#This Row],[category &amp; sub-category]]))</f>
        <v>photography books</v>
      </c>
    </row>
    <row r="122" spans="2:22" ht="15.75" customHeight="1" x14ac:dyDescent="0.25">
      <c r="B122">
        <v>119</v>
      </c>
      <c r="C122" t="s">
        <v>288</v>
      </c>
      <c r="D122" s="3" t="s">
        <v>289</v>
      </c>
      <c r="E122" s="6">
        <v>5000</v>
      </c>
      <c r="F122" s="6">
        <v>10748</v>
      </c>
      <c r="G122" s="17">
        <f>ROUND(Table1[[#This Row],[pledged]]/Table1[[#This Row],[goal]]*100,2)</f>
        <v>214.96</v>
      </c>
      <c r="H122" s="5">
        <f>+Table1[[#This Row],[pledged]]/Table1[[#This Row],[goal]]</f>
        <v>2.1496</v>
      </c>
      <c r="I122" t="s">
        <v>20</v>
      </c>
      <c r="J122">
        <v>154</v>
      </c>
      <c r="K122" s="8">
        <f>IFERROR(Table1[[#This Row],[pledged]]/Table1[[#This Row],[backers_count]],"NA")</f>
        <v>69.79220779220779</v>
      </c>
      <c r="L122" t="s">
        <v>21</v>
      </c>
      <c r="M122" t="s">
        <v>22</v>
      </c>
      <c r="N122">
        <v>1402894800</v>
      </c>
      <c r="O122">
        <v>1404363600</v>
      </c>
      <c r="P122" s="11">
        <f>+(((Table1[[#This Row],[launched_at]]/60)/60)/24)+DATE(1970,1,1)</f>
        <v>41806.208333333336</v>
      </c>
      <c r="Q122" s="11">
        <f>+(((Table1[[#This Row],[deadline]]/60)/60)/24)+DATE(1970,1,1)</f>
        <v>41823.208333333336</v>
      </c>
      <c r="R122" t="b">
        <v>0</v>
      </c>
      <c r="S122" t="b">
        <v>1</v>
      </c>
      <c r="T122" t="s">
        <v>42</v>
      </c>
      <c r="U122" t="str">
        <f>+LEFT(Table1[[#This Row],[category &amp; sub-category]],FIND("/",Table1[[#This Row],[category &amp; sub-category]])-1)</f>
        <v>film &amp; video</v>
      </c>
      <c r="V122" t="str">
        <f>+RIGHT(Table1[[#This Row],[category &amp; sub-category]],LEN(Table1[[#This Row],[category &amp; sub-category]])-SEARCH("/",Table1[[#This Row],[category &amp; sub-category]]))</f>
        <v>documentary</v>
      </c>
    </row>
    <row r="123" spans="2:22" ht="15.75" customHeight="1" x14ac:dyDescent="0.25">
      <c r="B123">
        <v>120</v>
      </c>
      <c r="C123" t="s">
        <v>290</v>
      </c>
      <c r="D123" s="3" t="s">
        <v>291</v>
      </c>
      <c r="E123" s="6">
        <v>75100</v>
      </c>
      <c r="F123" s="6">
        <v>112272</v>
      </c>
      <c r="G123" s="17">
        <f>ROUND(Table1[[#This Row],[pledged]]/Table1[[#This Row],[goal]]*100,2)</f>
        <v>149.5</v>
      </c>
      <c r="H123" s="5">
        <f>+Table1[[#This Row],[pledged]]/Table1[[#This Row],[goal]]</f>
        <v>1.4949667110519307</v>
      </c>
      <c r="I123" t="s">
        <v>20</v>
      </c>
      <c r="J123">
        <v>1782</v>
      </c>
      <c r="K123" s="8">
        <f>IFERROR(Table1[[#This Row],[pledged]]/Table1[[#This Row],[backers_count]],"NA")</f>
        <v>63.003367003367003</v>
      </c>
      <c r="L123" t="s">
        <v>21</v>
      </c>
      <c r="M123" t="s">
        <v>22</v>
      </c>
      <c r="N123">
        <v>1429246800</v>
      </c>
      <c r="O123">
        <v>1429592400</v>
      </c>
      <c r="P123" s="11">
        <f>+(((Table1[[#This Row],[launched_at]]/60)/60)/24)+DATE(1970,1,1)</f>
        <v>42111.208333333328</v>
      </c>
      <c r="Q123" s="11">
        <f>+(((Table1[[#This Row],[deadline]]/60)/60)/24)+DATE(1970,1,1)</f>
        <v>42115.208333333328</v>
      </c>
      <c r="R123" t="b">
        <v>0</v>
      </c>
      <c r="S123" t="b">
        <v>1</v>
      </c>
      <c r="T123" t="s">
        <v>292</v>
      </c>
      <c r="U123" t="str">
        <f>+LEFT(Table1[[#This Row],[category &amp; sub-category]],FIND("/",Table1[[#This Row],[category &amp; sub-category]])-1)</f>
        <v>games</v>
      </c>
      <c r="V123" t="str">
        <f>+RIGHT(Table1[[#This Row],[category &amp; sub-category]],LEN(Table1[[#This Row],[category &amp; sub-category]])-SEARCH("/",Table1[[#This Row],[category &amp; sub-category]]))</f>
        <v>mobile games</v>
      </c>
    </row>
    <row r="124" spans="2:22" ht="15.75" customHeight="1" x14ac:dyDescent="0.25">
      <c r="B124">
        <v>121</v>
      </c>
      <c r="C124" t="s">
        <v>293</v>
      </c>
      <c r="D124" s="3" t="s">
        <v>294</v>
      </c>
      <c r="E124" s="6">
        <v>45300</v>
      </c>
      <c r="F124" s="6">
        <v>99361</v>
      </c>
      <c r="G124" s="17">
        <f>ROUND(Table1[[#This Row],[pledged]]/Table1[[#This Row],[goal]]*100,2)</f>
        <v>219.34</v>
      </c>
      <c r="H124" s="5">
        <f>+Table1[[#This Row],[pledged]]/Table1[[#This Row],[goal]]</f>
        <v>2.1933995584988963</v>
      </c>
      <c r="I124" t="s">
        <v>20</v>
      </c>
      <c r="J124">
        <v>903</v>
      </c>
      <c r="K124" s="8">
        <f>IFERROR(Table1[[#This Row],[pledged]]/Table1[[#This Row],[backers_count]],"NA")</f>
        <v>110.0343300110742</v>
      </c>
      <c r="L124" t="s">
        <v>21</v>
      </c>
      <c r="M124" t="s">
        <v>22</v>
      </c>
      <c r="N124">
        <v>1412485200</v>
      </c>
      <c r="O124">
        <v>1413608400</v>
      </c>
      <c r="P124" s="11">
        <f>+(((Table1[[#This Row],[launched_at]]/60)/60)/24)+DATE(1970,1,1)</f>
        <v>41917.208333333336</v>
      </c>
      <c r="Q124" s="11">
        <f>+(((Table1[[#This Row],[deadline]]/60)/60)/24)+DATE(1970,1,1)</f>
        <v>41930.208333333336</v>
      </c>
      <c r="R124" t="b">
        <v>0</v>
      </c>
      <c r="S124" t="b">
        <v>0</v>
      </c>
      <c r="T124" t="s">
        <v>89</v>
      </c>
      <c r="U124" t="str">
        <f>+LEFT(Table1[[#This Row],[category &amp; sub-category]],FIND("/",Table1[[#This Row],[category &amp; sub-category]])-1)</f>
        <v>games</v>
      </c>
      <c r="V124" t="str">
        <f>+RIGHT(Table1[[#This Row],[category &amp; sub-category]],LEN(Table1[[#This Row],[category &amp; sub-category]])-SEARCH("/",Table1[[#This Row],[category &amp; sub-category]]))</f>
        <v>video games</v>
      </c>
    </row>
    <row r="125" spans="2:22" ht="15.75" customHeight="1" x14ac:dyDescent="0.25">
      <c r="B125">
        <v>122</v>
      </c>
      <c r="C125" t="s">
        <v>295</v>
      </c>
      <c r="D125" s="3" t="s">
        <v>296</v>
      </c>
      <c r="E125" s="6">
        <v>136800</v>
      </c>
      <c r="F125" s="6">
        <v>88055</v>
      </c>
      <c r="G125" s="17">
        <f>ROUND(Table1[[#This Row],[pledged]]/Table1[[#This Row],[goal]]*100,2)</f>
        <v>64.37</v>
      </c>
      <c r="H125" s="5">
        <f>+Table1[[#This Row],[pledged]]/Table1[[#This Row],[goal]]</f>
        <v>0.64367690058479532</v>
      </c>
      <c r="I125" t="s">
        <v>14</v>
      </c>
      <c r="J125">
        <v>3387</v>
      </c>
      <c r="K125" s="8">
        <f>IFERROR(Table1[[#This Row],[pledged]]/Table1[[#This Row],[backers_count]],"NA")</f>
        <v>25.997933274284026</v>
      </c>
      <c r="L125" t="s">
        <v>21</v>
      </c>
      <c r="M125" t="s">
        <v>22</v>
      </c>
      <c r="N125">
        <v>1417068000</v>
      </c>
      <c r="O125">
        <v>1419400800</v>
      </c>
      <c r="P125" s="11">
        <f>+(((Table1[[#This Row],[launched_at]]/60)/60)/24)+DATE(1970,1,1)</f>
        <v>41970.25</v>
      </c>
      <c r="Q125" s="11">
        <f>+(((Table1[[#This Row],[deadline]]/60)/60)/24)+DATE(1970,1,1)</f>
        <v>41997.25</v>
      </c>
      <c r="R125" t="b">
        <v>0</v>
      </c>
      <c r="S125" t="b">
        <v>0</v>
      </c>
      <c r="T125" t="s">
        <v>119</v>
      </c>
      <c r="U125" t="str">
        <f>+LEFT(Table1[[#This Row],[category &amp; sub-category]],FIND("/",Table1[[#This Row],[category &amp; sub-category]])-1)</f>
        <v>publishing</v>
      </c>
      <c r="V125" t="str">
        <f>+RIGHT(Table1[[#This Row],[category &amp; sub-category]],LEN(Table1[[#This Row],[category &amp; sub-category]])-SEARCH("/",Table1[[#This Row],[category &amp; sub-category]]))</f>
        <v>fiction</v>
      </c>
    </row>
    <row r="126" spans="2:22" ht="15.75" customHeight="1" x14ac:dyDescent="0.25">
      <c r="B126">
        <v>123</v>
      </c>
      <c r="C126" t="s">
        <v>297</v>
      </c>
      <c r="D126" s="3" t="s">
        <v>298</v>
      </c>
      <c r="E126" s="6">
        <v>177700</v>
      </c>
      <c r="F126" s="6">
        <v>33092</v>
      </c>
      <c r="G126" s="17">
        <f>ROUND(Table1[[#This Row],[pledged]]/Table1[[#This Row],[goal]]*100,2)</f>
        <v>18.62</v>
      </c>
      <c r="H126" s="5">
        <f>+Table1[[#This Row],[pledged]]/Table1[[#This Row],[goal]]</f>
        <v>0.18622397298818233</v>
      </c>
      <c r="I126" t="s">
        <v>14</v>
      </c>
      <c r="J126">
        <v>662</v>
      </c>
      <c r="K126" s="8">
        <f>IFERROR(Table1[[#This Row],[pledged]]/Table1[[#This Row],[backers_count]],"NA")</f>
        <v>49.987915407854985</v>
      </c>
      <c r="L126" t="s">
        <v>15</v>
      </c>
      <c r="M126" t="s">
        <v>16</v>
      </c>
      <c r="N126">
        <v>1448344800</v>
      </c>
      <c r="O126">
        <v>1448604000</v>
      </c>
      <c r="P126" s="11">
        <f>+(((Table1[[#This Row],[launched_at]]/60)/60)/24)+DATE(1970,1,1)</f>
        <v>42332.25</v>
      </c>
      <c r="Q126" s="11">
        <f>+(((Table1[[#This Row],[deadline]]/60)/60)/24)+DATE(1970,1,1)</f>
        <v>42335.25</v>
      </c>
      <c r="R126" t="b">
        <v>1</v>
      </c>
      <c r="S126" t="b">
        <v>0</v>
      </c>
      <c r="T126" t="s">
        <v>33</v>
      </c>
      <c r="U126" t="str">
        <f>+LEFT(Table1[[#This Row],[category &amp; sub-category]],FIND("/",Table1[[#This Row],[category &amp; sub-category]])-1)</f>
        <v>theater</v>
      </c>
      <c r="V126" t="str">
        <f>+RIGHT(Table1[[#This Row],[category &amp; sub-category]],LEN(Table1[[#This Row],[category &amp; sub-category]])-SEARCH("/",Table1[[#This Row],[category &amp; sub-category]]))</f>
        <v>plays</v>
      </c>
    </row>
    <row r="127" spans="2:22" ht="15.75" customHeight="1" x14ac:dyDescent="0.25">
      <c r="B127">
        <v>124</v>
      </c>
      <c r="C127" t="s">
        <v>299</v>
      </c>
      <c r="D127" s="3" t="s">
        <v>300</v>
      </c>
      <c r="E127" s="6">
        <v>2600</v>
      </c>
      <c r="F127" s="6">
        <v>9562</v>
      </c>
      <c r="G127" s="17">
        <f>ROUND(Table1[[#This Row],[pledged]]/Table1[[#This Row],[goal]]*100,2)</f>
        <v>367.77</v>
      </c>
      <c r="H127" s="5">
        <f>+Table1[[#This Row],[pledged]]/Table1[[#This Row],[goal]]</f>
        <v>3.6776923076923076</v>
      </c>
      <c r="I127" t="s">
        <v>20</v>
      </c>
      <c r="J127">
        <v>94</v>
      </c>
      <c r="K127" s="8">
        <f>IFERROR(Table1[[#This Row],[pledged]]/Table1[[#This Row],[backers_count]],"NA")</f>
        <v>101.72340425531915</v>
      </c>
      <c r="L127" t="s">
        <v>107</v>
      </c>
      <c r="M127" t="s">
        <v>108</v>
      </c>
      <c r="N127">
        <v>1557723600</v>
      </c>
      <c r="O127">
        <v>1562302800</v>
      </c>
      <c r="P127" s="11">
        <f>+(((Table1[[#This Row],[launched_at]]/60)/60)/24)+DATE(1970,1,1)</f>
        <v>43598.208333333328</v>
      </c>
      <c r="Q127" s="11">
        <f>+(((Table1[[#This Row],[deadline]]/60)/60)/24)+DATE(1970,1,1)</f>
        <v>43651.208333333328</v>
      </c>
      <c r="R127" t="b">
        <v>0</v>
      </c>
      <c r="S127" t="b">
        <v>0</v>
      </c>
      <c r="T127" t="s">
        <v>122</v>
      </c>
      <c r="U127" t="str">
        <f>+LEFT(Table1[[#This Row],[category &amp; sub-category]],FIND("/",Table1[[#This Row],[category &amp; sub-category]])-1)</f>
        <v>photography</v>
      </c>
      <c r="V127" t="str">
        <f>+RIGHT(Table1[[#This Row],[category &amp; sub-category]],LEN(Table1[[#This Row],[category &amp; sub-category]])-SEARCH("/",Table1[[#This Row],[category &amp; sub-category]]))</f>
        <v>photography books</v>
      </c>
    </row>
    <row r="128" spans="2:22" ht="15.75" customHeight="1" x14ac:dyDescent="0.25">
      <c r="B128">
        <v>125</v>
      </c>
      <c r="C128" t="s">
        <v>301</v>
      </c>
      <c r="D128" s="3" t="s">
        <v>302</v>
      </c>
      <c r="E128" s="6">
        <v>5300</v>
      </c>
      <c r="F128" s="6">
        <v>8475</v>
      </c>
      <c r="G128" s="17">
        <f>ROUND(Table1[[#This Row],[pledged]]/Table1[[#This Row],[goal]]*100,2)</f>
        <v>159.91</v>
      </c>
      <c r="H128" s="5">
        <f>+Table1[[#This Row],[pledged]]/Table1[[#This Row],[goal]]</f>
        <v>1.5990566037735849</v>
      </c>
      <c r="I128" t="s">
        <v>20</v>
      </c>
      <c r="J128">
        <v>180</v>
      </c>
      <c r="K128" s="8">
        <f>IFERROR(Table1[[#This Row],[pledged]]/Table1[[#This Row],[backers_count]],"NA")</f>
        <v>47.083333333333336</v>
      </c>
      <c r="L128" t="s">
        <v>21</v>
      </c>
      <c r="M128" t="s">
        <v>22</v>
      </c>
      <c r="N128">
        <v>1537333200</v>
      </c>
      <c r="O128">
        <v>1537678800</v>
      </c>
      <c r="P128" s="11">
        <f>+(((Table1[[#This Row],[launched_at]]/60)/60)/24)+DATE(1970,1,1)</f>
        <v>43362.208333333328</v>
      </c>
      <c r="Q128" s="11">
        <f>+(((Table1[[#This Row],[deadline]]/60)/60)/24)+DATE(1970,1,1)</f>
        <v>43366.208333333328</v>
      </c>
      <c r="R128" t="b">
        <v>0</v>
      </c>
      <c r="S128" t="b">
        <v>0</v>
      </c>
      <c r="T128" t="s">
        <v>33</v>
      </c>
      <c r="U128" t="str">
        <f>+LEFT(Table1[[#This Row],[category &amp; sub-category]],FIND("/",Table1[[#This Row],[category &amp; sub-category]])-1)</f>
        <v>theater</v>
      </c>
      <c r="V128" t="str">
        <f>+RIGHT(Table1[[#This Row],[category &amp; sub-category]],LEN(Table1[[#This Row],[category &amp; sub-category]])-SEARCH("/",Table1[[#This Row],[category &amp; sub-category]]))</f>
        <v>plays</v>
      </c>
    </row>
    <row r="129" spans="2:22" ht="15.75" customHeight="1" x14ac:dyDescent="0.25">
      <c r="B129">
        <v>126</v>
      </c>
      <c r="C129" t="s">
        <v>303</v>
      </c>
      <c r="D129" s="3" t="s">
        <v>304</v>
      </c>
      <c r="E129" s="6">
        <v>180200</v>
      </c>
      <c r="F129" s="6">
        <v>69617</v>
      </c>
      <c r="G129" s="17">
        <f>ROUND(Table1[[#This Row],[pledged]]/Table1[[#This Row],[goal]]*100,2)</f>
        <v>38.630000000000003</v>
      </c>
      <c r="H129" s="5">
        <f>+Table1[[#This Row],[pledged]]/Table1[[#This Row],[goal]]</f>
        <v>0.38633185349611543</v>
      </c>
      <c r="I129" t="s">
        <v>14</v>
      </c>
      <c r="J129">
        <v>774</v>
      </c>
      <c r="K129" s="8">
        <f>IFERROR(Table1[[#This Row],[pledged]]/Table1[[#This Row],[backers_count]],"NA")</f>
        <v>89.944444444444443</v>
      </c>
      <c r="L129" t="s">
        <v>21</v>
      </c>
      <c r="M129" t="s">
        <v>22</v>
      </c>
      <c r="N129">
        <v>1471150800</v>
      </c>
      <c r="O129">
        <v>1473570000</v>
      </c>
      <c r="P129" s="11">
        <f>+(((Table1[[#This Row],[launched_at]]/60)/60)/24)+DATE(1970,1,1)</f>
        <v>42596.208333333328</v>
      </c>
      <c r="Q129" s="11">
        <f>+(((Table1[[#This Row],[deadline]]/60)/60)/24)+DATE(1970,1,1)</f>
        <v>42624.208333333328</v>
      </c>
      <c r="R129" t="b">
        <v>0</v>
      </c>
      <c r="S129" t="b">
        <v>1</v>
      </c>
      <c r="T129" t="s">
        <v>33</v>
      </c>
      <c r="U129" t="str">
        <f>+LEFT(Table1[[#This Row],[category &amp; sub-category]],FIND("/",Table1[[#This Row],[category &amp; sub-category]])-1)</f>
        <v>theater</v>
      </c>
      <c r="V129" t="str">
        <f>+RIGHT(Table1[[#This Row],[category &amp; sub-category]],LEN(Table1[[#This Row],[category &amp; sub-category]])-SEARCH("/",Table1[[#This Row],[category &amp; sub-category]]))</f>
        <v>plays</v>
      </c>
    </row>
    <row r="130" spans="2:22" ht="15.75" customHeight="1" x14ac:dyDescent="0.25">
      <c r="B130">
        <v>127</v>
      </c>
      <c r="C130" t="s">
        <v>305</v>
      </c>
      <c r="D130" s="3" t="s">
        <v>306</v>
      </c>
      <c r="E130" s="6">
        <v>103200</v>
      </c>
      <c r="F130" s="6">
        <v>53067</v>
      </c>
      <c r="G130" s="17">
        <f>ROUND(Table1[[#This Row],[pledged]]/Table1[[#This Row],[goal]]*100,2)</f>
        <v>51.42</v>
      </c>
      <c r="H130" s="5">
        <f>+Table1[[#This Row],[pledged]]/Table1[[#This Row],[goal]]</f>
        <v>0.51421511627906979</v>
      </c>
      <c r="I130" t="s">
        <v>14</v>
      </c>
      <c r="J130">
        <v>672</v>
      </c>
      <c r="K130" s="8">
        <f>IFERROR(Table1[[#This Row],[pledged]]/Table1[[#This Row],[backers_count]],"NA")</f>
        <v>78.96875</v>
      </c>
      <c r="L130" t="s">
        <v>15</v>
      </c>
      <c r="M130" t="s">
        <v>16</v>
      </c>
      <c r="N130">
        <v>1273640400</v>
      </c>
      <c r="O130">
        <v>1273899600</v>
      </c>
      <c r="P130" s="11">
        <f>+(((Table1[[#This Row],[launched_at]]/60)/60)/24)+DATE(1970,1,1)</f>
        <v>40310.208333333336</v>
      </c>
      <c r="Q130" s="11">
        <f>+(((Table1[[#This Row],[deadline]]/60)/60)/24)+DATE(1970,1,1)</f>
        <v>40313.208333333336</v>
      </c>
      <c r="R130" t="b">
        <v>0</v>
      </c>
      <c r="S130" t="b">
        <v>0</v>
      </c>
      <c r="T130" t="s">
        <v>33</v>
      </c>
      <c r="U130" t="str">
        <f>+LEFT(Table1[[#This Row],[category &amp; sub-category]],FIND("/",Table1[[#This Row],[category &amp; sub-category]])-1)</f>
        <v>theater</v>
      </c>
      <c r="V130" t="str">
        <f>+RIGHT(Table1[[#This Row],[category &amp; sub-category]],LEN(Table1[[#This Row],[category &amp; sub-category]])-SEARCH("/",Table1[[#This Row],[category &amp; sub-category]]))</f>
        <v>plays</v>
      </c>
    </row>
    <row r="131" spans="2:22" ht="15.75" customHeight="1" x14ac:dyDescent="0.25">
      <c r="B131">
        <v>128</v>
      </c>
      <c r="C131" t="s">
        <v>307</v>
      </c>
      <c r="D131" s="3" t="s">
        <v>308</v>
      </c>
      <c r="E131" s="6">
        <v>70600</v>
      </c>
      <c r="F131" s="6">
        <v>42596</v>
      </c>
      <c r="G131" s="17">
        <f>ROUND(Table1[[#This Row],[pledged]]/Table1[[#This Row],[goal]]*100,2)</f>
        <v>60.33</v>
      </c>
      <c r="H131" s="5">
        <f>+Table1[[#This Row],[pledged]]/Table1[[#This Row],[goal]]</f>
        <v>0.60334277620396604</v>
      </c>
      <c r="I131" t="s">
        <v>74</v>
      </c>
      <c r="J131">
        <v>532</v>
      </c>
      <c r="K131" s="8">
        <f>IFERROR(Table1[[#This Row],[pledged]]/Table1[[#This Row],[backers_count]],"NA")</f>
        <v>80.067669172932327</v>
      </c>
      <c r="L131" t="s">
        <v>21</v>
      </c>
      <c r="M131" t="s">
        <v>22</v>
      </c>
      <c r="N131">
        <v>1282885200</v>
      </c>
      <c r="O131">
        <v>1284008400</v>
      </c>
      <c r="P131" s="11">
        <f>+(((Table1[[#This Row],[launched_at]]/60)/60)/24)+DATE(1970,1,1)</f>
        <v>40417.208333333336</v>
      </c>
      <c r="Q131" s="11">
        <f>+(((Table1[[#This Row],[deadline]]/60)/60)/24)+DATE(1970,1,1)</f>
        <v>40430.208333333336</v>
      </c>
      <c r="R131" t="b">
        <v>0</v>
      </c>
      <c r="S131" t="b">
        <v>0</v>
      </c>
      <c r="T131" t="s">
        <v>23</v>
      </c>
      <c r="U131" t="str">
        <f>+LEFT(Table1[[#This Row],[category &amp; sub-category]],FIND("/",Table1[[#This Row],[category &amp; sub-category]])-1)</f>
        <v>music</v>
      </c>
      <c r="V131" t="str">
        <f>+RIGHT(Table1[[#This Row],[category &amp; sub-category]],LEN(Table1[[#This Row],[category &amp; sub-category]])-SEARCH("/",Table1[[#This Row],[category &amp; sub-category]]))</f>
        <v>rock</v>
      </c>
    </row>
    <row r="132" spans="2:22" ht="15.75" customHeight="1" x14ac:dyDescent="0.25">
      <c r="B132">
        <v>129</v>
      </c>
      <c r="C132" t="s">
        <v>309</v>
      </c>
      <c r="D132" s="3" t="s">
        <v>310</v>
      </c>
      <c r="E132" s="6">
        <v>148500</v>
      </c>
      <c r="F132" s="6">
        <v>4756</v>
      </c>
      <c r="G132" s="17">
        <f>ROUND(Table1[[#This Row],[pledged]]/Table1[[#This Row],[goal]]*100,2)</f>
        <v>3.2</v>
      </c>
      <c r="H132" s="5">
        <f>+Table1[[#This Row],[pledged]]/Table1[[#This Row],[goal]]</f>
        <v>3.2026936026936029E-2</v>
      </c>
      <c r="I132" t="s">
        <v>74</v>
      </c>
      <c r="J132">
        <v>55</v>
      </c>
      <c r="K132" s="8">
        <f>IFERROR(Table1[[#This Row],[pledged]]/Table1[[#This Row],[backers_count]],"NA")</f>
        <v>86.472727272727269</v>
      </c>
      <c r="L132" t="s">
        <v>26</v>
      </c>
      <c r="M132" t="s">
        <v>27</v>
      </c>
      <c r="N132">
        <v>1422943200</v>
      </c>
      <c r="O132">
        <v>1425103200</v>
      </c>
      <c r="P132" s="11">
        <f>+(((Table1[[#This Row],[launched_at]]/60)/60)/24)+DATE(1970,1,1)</f>
        <v>42038.25</v>
      </c>
      <c r="Q132" s="11">
        <f>+(((Table1[[#This Row],[deadline]]/60)/60)/24)+DATE(1970,1,1)</f>
        <v>42063.25</v>
      </c>
      <c r="R132" t="b">
        <v>0</v>
      </c>
      <c r="S132" t="b">
        <v>0</v>
      </c>
      <c r="T132" t="s">
        <v>17</v>
      </c>
      <c r="U132" t="str">
        <f>+LEFT(Table1[[#This Row],[category &amp; sub-category]],FIND("/",Table1[[#This Row],[category &amp; sub-category]])-1)</f>
        <v>food</v>
      </c>
      <c r="V132" t="str">
        <f>+RIGHT(Table1[[#This Row],[category &amp; sub-category]],LEN(Table1[[#This Row],[category &amp; sub-category]])-SEARCH("/",Table1[[#This Row],[category &amp; sub-category]]))</f>
        <v>food trucks</v>
      </c>
    </row>
    <row r="133" spans="2:22" ht="15.75" customHeight="1" x14ac:dyDescent="0.25">
      <c r="B133">
        <v>130</v>
      </c>
      <c r="C133" t="s">
        <v>311</v>
      </c>
      <c r="D133" s="3" t="s">
        <v>312</v>
      </c>
      <c r="E133" s="6">
        <v>9600</v>
      </c>
      <c r="F133" s="6">
        <v>14925</v>
      </c>
      <c r="G133" s="17">
        <f>ROUND(Table1[[#This Row],[pledged]]/Table1[[#This Row],[goal]]*100,2)</f>
        <v>155.47</v>
      </c>
      <c r="H133" s="5">
        <f>+Table1[[#This Row],[pledged]]/Table1[[#This Row],[goal]]</f>
        <v>1.5546875</v>
      </c>
      <c r="I133" t="s">
        <v>20</v>
      </c>
      <c r="J133">
        <v>533</v>
      </c>
      <c r="K133" s="8">
        <f>IFERROR(Table1[[#This Row],[pledged]]/Table1[[#This Row],[backers_count]],"NA")</f>
        <v>28.001876172607879</v>
      </c>
      <c r="L133" t="s">
        <v>36</v>
      </c>
      <c r="M133" t="s">
        <v>37</v>
      </c>
      <c r="N133">
        <v>1319605200</v>
      </c>
      <c r="O133">
        <v>1320991200</v>
      </c>
      <c r="P133" s="11">
        <f>+(((Table1[[#This Row],[launched_at]]/60)/60)/24)+DATE(1970,1,1)</f>
        <v>40842.208333333336</v>
      </c>
      <c r="Q133" s="11">
        <f>+(((Table1[[#This Row],[deadline]]/60)/60)/24)+DATE(1970,1,1)</f>
        <v>40858.25</v>
      </c>
      <c r="R133" t="b">
        <v>0</v>
      </c>
      <c r="S133" t="b">
        <v>0</v>
      </c>
      <c r="T133" t="s">
        <v>53</v>
      </c>
      <c r="U133" t="str">
        <f>+LEFT(Table1[[#This Row],[category &amp; sub-category]],FIND("/",Table1[[#This Row],[category &amp; sub-category]])-1)</f>
        <v>film &amp; video</v>
      </c>
      <c r="V133" t="str">
        <f>+RIGHT(Table1[[#This Row],[category &amp; sub-category]],LEN(Table1[[#This Row],[category &amp; sub-category]])-SEARCH("/",Table1[[#This Row],[category &amp; sub-category]]))</f>
        <v>drama</v>
      </c>
    </row>
    <row r="134" spans="2:22" ht="15.75" customHeight="1" x14ac:dyDescent="0.25">
      <c r="B134">
        <v>131</v>
      </c>
      <c r="C134" t="s">
        <v>313</v>
      </c>
      <c r="D134" s="3" t="s">
        <v>314</v>
      </c>
      <c r="E134" s="6">
        <v>164700</v>
      </c>
      <c r="F134" s="6">
        <v>166116</v>
      </c>
      <c r="G134" s="17">
        <f>ROUND(Table1[[#This Row],[pledged]]/Table1[[#This Row],[goal]]*100,2)</f>
        <v>100.86</v>
      </c>
      <c r="H134" s="5">
        <f>+Table1[[#This Row],[pledged]]/Table1[[#This Row],[goal]]</f>
        <v>1.0085974499089254</v>
      </c>
      <c r="I134" t="s">
        <v>20</v>
      </c>
      <c r="J134">
        <v>2443</v>
      </c>
      <c r="K134" s="8">
        <f>IFERROR(Table1[[#This Row],[pledged]]/Table1[[#This Row],[backers_count]],"NA")</f>
        <v>67.996725337699544</v>
      </c>
      <c r="L134" t="s">
        <v>40</v>
      </c>
      <c r="M134" t="s">
        <v>41</v>
      </c>
      <c r="N134">
        <v>1385704800</v>
      </c>
      <c r="O134">
        <v>1386828000</v>
      </c>
      <c r="P134" s="11">
        <f>+(((Table1[[#This Row],[launched_at]]/60)/60)/24)+DATE(1970,1,1)</f>
        <v>41607.25</v>
      </c>
      <c r="Q134" s="11">
        <f>+(((Table1[[#This Row],[deadline]]/60)/60)/24)+DATE(1970,1,1)</f>
        <v>41620.25</v>
      </c>
      <c r="R134" t="b">
        <v>0</v>
      </c>
      <c r="S134" t="b">
        <v>0</v>
      </c>
      <c r="T134" t="s">
        <v>28</v>
      </c>
      <c r="U134" t="str">
        <f>+LEFT(Table1[[#This Row],[category &amp; sub-category]],FIND("/",Table1[[#This Row],[category &amp; sub-category]])-1)</f>
        <v>technology</v>
      </c>
      <c r="V134" t="str">
        <f>+RIGHT(Table1[[#This Row],[category &amp; sub-category]],LEN(Table1[[#This Row],[category &amp; sub-category]])-SEARCH("/",Table1[[#This Row],[category &amp; sub-category]]))</f>
        <v>web</v>
      </c>
    </row>
    <row r="135" spans="2:22" ht="15.75" customHeight="1" x14ac:dyDescent="0.25">
      <c r="B135">
        <v>132</v>
      </c>
      <c r="C135" t="s">
        <v>315</v>
      </c>
      <c r="D135" s="3" t="s">
        <v>316</v>
      </c>
      <c r="E135" s="6">
        <v>3300</v>
      </c>
      <c r="F135" s="6">
        <v>3834</v>
      </c>
      <c r="G135" s="17">
        <f>ROUND(Table1[[#This Row],[pledged]]/Table1[[#This Row],[goal]]*100,2)</f>
        <v>116.18</v>
      </c>
      <c r="H135" s="5">
        <f>+Table1[[#This Row],[pledged]]/Table1[[#This Row],[goal]]</f>
        <v>1.1618181818181819</v>
      </c>
      <c r="I135" t="s">
        <v>20</v>
      </c>
      <c r="J135">
        <v>89</v>
      </c>
      <c r="K135" s="8">
        <f>IFERROR(Table1[[#This Row],[pledged]]/Table1[[#This Row],[backers_count]],"NA")</f>
        <v>43.078651685393261</v>
      </c>
      <c r="L135" t="s">
        <v>21</v>
      </c>
      <c r="M135" t="s">
        <v>22</v>
      </c>
      <c r="N135">
        <v>1515736800</v>
      </c>
      <c r="O135">
        <v>1517119200</v>
      </c>
      <c r="P135" s="11">
        <f>+(((Table1[[#This Row],[launched_at]]/60)/60)/24)+DATE(1970,1,1)</f>
        <v>43112.25</v>
      </c>
      <c r="Q135" s="11">
        <f>+(((Table1[[#This Row],[deadline]]/60)/60)/24)+DATE(1970,1,1)</f>
        <v>43128.25</v>
      </c>
      <c r="R135" t="b">
        <v>0</v>
      </c>
      <c r="S135" t="b">
        <v>1</v>
      </c>
      <c r="T135" t="s">
        <v>33</v>
      </c>
      <c r="U135" t="str">
        <f>+LEFT(Table1[[#This Row],[category &amp; sub-category]],FIND("/",Table1[[#This Row],[category &amp; sub-category]])-1)</f>
        <v>theater</v>
      </c>
      <c r="V135" t="str">
        <f>+RIGHT(Table1[[#This Row],[category &amp; sub-category]],LEN(Table1[[#This Row],[category &amp; sub-category]])-SEARCH("/",Table1[[#This Row],[category &amp; sub-category]]))</f>
        <v>plays</v>
      </c>
    </row>
    <row r="136" spans="2:22" ht="15.75" customHeight="1" x14ac:dyDescent="0.25">
      <c r="B136">
        <v>133</v>
      </c>
      <c r="C136" t="s">
        <v>317</v>
      </c>
      <c r="D136" s="3" t="s">
        <v>318</v>
      </c>
      <c r="E136" s="6">
        <v>4500</v>
      </c>
      <c r="F136" s="6">
        <v>13985</v>
      </c>
      <c r="G136" s="17">
        <f>ROUND(Table1[[#This Row],[pledged]]/Table1[[#This Row],[goal]]*100,2)</f>
        <v>310.77999999999997</v>
      </c>
      <c r="H136" s="5">
        <f>+Table1[[#This Row],[pledged]]/Table1[[#This Row],[goal]]</f>
        <v>3.1077777777777778</v>
      </c>
      <c r="I136" t="s">
        <v>20</v>
      </c>
      <c r="J136">
        <v>159</v>
      </c>
      <c r="K136" s="8">
        <f>IFERROR(Table1[[#This Row],[pledged]]/Table1[[#This Row],[backers_count]],"NA")</f>
        <v>87.95597484276729</v>
      </c>
      <c r="L136" t="s">
        <v>21</v>
      </c>
      <c r="M136" t="s">
        <v>22</v>
      </c>
      <c r="N136">
        <v>1313125200</v>
      </c>
      <c r="O136">
        <v>1315026000</v>
      </c>
      <c r="P136" s="11">
        <f>+(((Table1[[#This Row],[launched_at]]/60)/60)/24)+DATE(1970,1,1)</f>
        <v>40767.208333333336</v>
      </c>
      <c r="Q136" s="11">
        <f>+(((Table1[[#This Row],[deadline]]/60)/60)/24)+DATE(1970,1,1)</f>
        <v>40789.208333333336</v>
      </c>
      <c r="R136" t="b">
        <v>0</v>
      </c>
      <c r="S136" t="b">
        <v>0</v>
      </c>
      <c r="T136" t="s">
        <v>319</v>
      </c>
      <c r="U136" t="str">
        <f>+LEFT(Table1[[#This Row],[category &amp; sub-category]],FIND("/",Table1[[#This Row],[category &amp; sub-category]])-1)</f>
        <v>music</v>
      </c>
      <c r="V136" t="str">
        <f>+RIGHT(Table1[[#This Row],[category &amp; sub-category]],LEN(Table1[[#This Row],[category &amp; sub-category]])-SEARCH("/",Table1[[#This Row],[category &amp; sub-category]]))</f>
        <v>world music</v>
      </c>
    </row>
    <row r="137" spans="2:22" ht="15.75" customHeight="1" x14ac:dyDescent="0.25">
      <c r="B137">
        <v>134</v>
      </c>
      <c r="C137" t="s">
        <v>320</v>
      </c>
      <c r="D137" s="3" t="s">
        <v>321</v>
      </c>
      <c r="E137" s="6">
        <v>99500</v>
      </c>
      <c r="F137" s="6">
        <v>89288</v>
      </c>
      <c r="G137" s="17">
        <f>ROUND(Table1[[#This Row],[pledged]]/Table1[[#This Row],[goal]]*100,2)</f>
        <v>89.74</v>
      </c>
      <c r="H137" s="5">
        <f>+Table1[[#This Row],[pledged]]/Table1[[#This Row],[goal]]</f>
        <v>0.89736683417085428</v>
      </c>
      <c r="I137" t="s">
        <v>14</v>
      </c>
      <c r="J137">
        <v>940</v>
      </c>
      <c r="K137" s="8">
        <f>IFERROR(Table1[[#This Row],[pledged]]/Table1[[#This Row],[backers_count]],"NA")</f>
        <v>94.987234042553197</v>
      </c>
      <c r="L137" t="s">
        <v>98</v>
      </c>
      <c r="M137" t="s">
        <v>99</v>
      </c>
      <c r="N137">
        <v>1308459600</v>
      </c>
      <c r="O137">
        <v>1312693200</v>
      </c>
      <c r="P137" s="11">
        <f>+(((Table1[[#This Row],[launched_at]]/60)/60)/24)+DATE(1970,1,1)</f>
        <v>40713.208333333336</v>
      </c>
      <c r="Q137" s="11">
        <f>+(((Table1[[#This Row],[deadline]]/60)/60)/24)+DATE(1970,1,1)</f>
        <v>40762.208333333336</v>
      </c>
      <c r="R137" t="b">
        <v>0</v>
      </c>
      <c r="S137" t="b">
        <v>1</v>
      </c>
      <c r="T137" t="s">
        <v>42</v>
      </c>
      <c r="U137" t="str">
        <f>+LEFT(Table1[[#This Row],[category &amp; sub-category]],FIND("/",Table1[[#This Row],[category &amp; sub-category]])-1)</f>
        <v>film &amp; video</v>
      </c>
      <c r="V137" t="str">
        <f>+RIGHT(Table1[[#This Row],[category &amp; sub-category]],LEN(Table1[[#This Row],[category &amp; sub-category]])-SEARCH("/",Table1[[#This Row],[category &amp; sub-category]]))</f>
        <v>documentary</v>
      </c>
    </row>
    <row r="138" spans="2:22" ht="15.75" customHeight="1" x14ac:dyDescent="0.25">
      <c r="B138">
        <v>135</v>
      </c>
      <c r="C138" t="s">
        <v>322</v>
      </c>
      <c r="D138" s="3" t="s">
        <v>323</v>
      </c>
      <c r="E138" s="6">
        <v>7700</v>
      </c>
      <c r="F138" s="6">
        <v>5488</v>
      </c>
      <c r="G138" s="17">
        <f>ROUND(Table1[[#This Row],[pledged]]/Table1[[#This Row],[goal]]*100,2)</f>
        <v>71.27</v>
      </c>
      <c r="H138" s="5">
        <f>+Table1[[#This Row],[pledged]]/Table1[[#This Row],[goal]]</f>
        <v>0.71272727272727276</v>
      </c>
      <c r="I138" t="s">
        <v>14</v>
      </c>
      <c r="J138">
        <v>117</v>
      </c>
      <c r="K138" s="8">
        <f>IFERROR(Table1[[#This Row],[pledged]]/Table1[[#This Row],[backers_count]],"NA")</f>
        <v>46.905982905982903</v>
      </c>
      <c r="L138" t="s">
        <v>21</v>
      </c>
      <c r="M138" t="s">
        <v>22</v>
      </c>
      <c r="N138">
        <v>1362636000</v>
      </c>
      <c r="O138">
        <v>1363064400</v>
      </c>
      <c r="P138" s="11">
        <f>+(((Table1[[#This Row],[launched_at]]/60)/60)/24)+DATE(1970,1,1)</f>
        <v>41340.25</v>
      </c>
      <c r="Q138" s="11">
        <f>+(((Table1[[#This Row],[deadline]]/60)/60)/24)+DATE(1970,1,1)</f>
        <v>41345.208333333336</v>
      </c>
      <c r="R138" t="b">
        <v>0</v>
      </c>
      <c r="S138" t="b">
        <v>1</v>
      </c>
      <c r="T138" t="s">
        <v>33</v>
      </c>
      <c r="U138" t="str">
        <f>+LEFT(Table1[[#This Row],[category &amp; sub-category]],FIND("/",Table1[[#This Row],[category &amp; sub-category]])-1)</f>
        <v>theater</v>
      </c>
      <c r="V138" t="str">
        <f>+RIGHT(Table1[[#This Row],[category &amp; sub-category]],LEN(Table1[[#This Row],[category &amp; sub-category]])-SEARCH("/",Table1[[#This Row],[category &amp; sub-category]]))</f>
        <v>plays</v>
      </c>
    </row>
    <row r="139" spans="2:22" ht="15.75" customHeight="1" x14ac:dyDescent="0.25">
      <c r="B139">
        <v>136</v>
      </c>
      <c r="C139" t="s">
        <v>324</v>
      </c>
      <c r="D139" s="3" t="s">
        <v>325</v>
      </c>
      <c r="E139" s="6">
        <v>82800</v>
      </c>
      <c r="F139" s="6">
        <v>2721</v>
      </c>
      <c r="G139" s="17">
        <f>ROUND(Table1[[#This Row],[pledged]]/Table1[[#This Row],[goal]]*100,2)</f>
        <v>3.29</v>
      </c>
      <c r="H139" s="5">
        <f>+Table1[[#This Row],[pledged]]/Table1[[#This Row],[goal]]</f>
        <v>3.2862318840579711E-2</v>
      </c>
      <c r="I139" t="s">
        <v>74</v>
      </c>
      <c r="J139">
        <v>58</v>
      </c>
      <c r="K139" s="8">
        <f>IFERROR(Table1[[#This Row],[pledged]]/Table1[[#This Row],[backers_count]],"NA")</f>
        <v>46.913793103448278</v>
      </c>
      <c r="L139" t="s">
        <v>21</v>
      </c>
      <c r="M139" t="s">
        <v>22</v>
      </c>
      <c r="N139">
        <v>1402117200</v>
      </c>
      <c r="O139">
        <v>1403154000</v>
      </c>
      <c r="P139" s="11">
        <f>+(((Table1[[#This Row],[launched_at]]/60)/60)/24)+DATE(1970,1,1)</f>
        <v>41797.208333333336</v>
      </c>
      <c r="Q139" s="11">
        <f>+(((Table1[[#This Row],[deadline]]/60)/60)/24)+DATE(1970,1,1)</f>
        <v>41809.208333333336</v>
      </c>
      <c r="R139" t="b">
        <v>0</v>
      </c>
      <c r="S139" t="b">
        <v>1</v>
      </c>
      <c r="T139" t="s">
        <v>53</v>
      </c>
      <c r="U139" t="str">
        <f>+LEFT(Table1[[#This Row],[category &amp; sub-category]],FIND("/",Table1[[#This Row],[category &amp; sub-category]])-1)</f>
        <v>film &amp; video</v>
      </c>
      <c r="V139" t="str">
        <f>+RIGHT(Table1[[#This Row],[category &amp; sub-category]],LEN(Table1[[#This Row],[category &amp; sub-category]])-SEARCH("/",Table1[[#This Row],[category &amp; sub-category]]))</f>
        <v>drama</v>
      </c>
    </row>
    <row r="140" spans="2:22" ht="15.75" customHeight="1" x14ac:dyDescent="0.25">
      <c r="B140">
        <v>137</v>
      </c>
      <c r="C140" t="s">
        <v>326</v>
      </c>
      <c r="D140" s="3" t="s">
        <v>327</v>
      </c>
      <c r="E140" s="6">
        <v>1800</v>
      </c>
      <c r="F140" s="6">
        <v>4712</v>
      </c>
      <c r="G140" s="17">
        <f>ROUND(Table1[[#This Row],[pledged]]/Table1[[#This Row],[goal]]*100,2)</f>
        <v>261.77999999999997</v>
      </c>
      <c r="H140" s="5">
        <f>+Table1[[#This Row],[pledged]]/Table1[[#This Row],[goal]]</f>
        <v>2.617777777777778</v>
      </c>
      <c r="I140" t="s">
        <v>20</v>
      </c>
      <c r="J140">
        <v>50</v>
      </c>
      <c r="K140" s="8">
        <f>IFERROR(Table1[[#This Row],[pledged]]/Table1[[#This Row],[backers_count]],"NA")</f>
        <v>94.24</v>
      </c>
      <c r="L140" t="s">
        <v>21</v>
      </c>
      <c r="M140" t="s">
        <v>22</v>
      </c>
      <c r="N140">
        <v>1286341200</v>
      </c>
      <c r="O140">
        <v>1286859600</v>
      </c>
      <c r="P140" s="11">
        <f>+(((Table1[[#This Row],[launched_at]]/60)/60)/24)+DATE(1970,1,1)</f>
        <v>40457.208333333336</v>
      </c>
      <c r="Q140" s="11">
        <f>+(((Table1[[#This Row],[deadline]]/60)/60)/24)+DATE(1970,1,1)</f>
        <v>40463.208333333336</v>
      </c>
      <c r="R140" t="b">
        <v>0</v>
      </c>
      <c r="S140" t="b">
        <v>0</v>
      </c>
      <c r="T140" t="s">
        <v>68</v>
      </c>
      <c r="U140" t="str">
        <f>+LEFT(Table1[[#This Row],[category &amp; sub-category]],FIND("/",Table1[[#This Row],[category &amp; sub-category]])-1)</f>
        <v>publishing</v>
      </c>
      <c r="V140" t="str">
        <f>+RIGHT(Table1[[#This Row],[category &amp; sub-category]],LEN(Table1[[#This Row],[category &amp; sub-category]])-SEARCH("/",Table1[[#This Row],[category &amp; sub-category]]))</f>
        <v>nonfiction</v>
      </c>
    </row>
    <row r="141" spans="2:22" ht="15.75" customHeight="1" x14ac:dyDescent="0.25">
      <c r="B141">
        <v>138</v>
      </c>
      <c r="C141" t="s">
        <v>328</v>
      </c>
      <c r="D141" s="3" t="s">
        <v>329</v>
      </c>
      <c r="E141" s="6">
        <v>9600</v>
      </c>
      <c r="F141" s="6">
        <v>9216</v>
      </c>
      <c r="G141" s="17">
        <f>ROUND(Table1[[#This Row],[pledged]]/Table1[[#This Row],[goal]]*100,2)</f>
        <v>96</v>
      </c>
      <c r="H141" s="5">
        <f>+Table1[[#This Row],[pledged]]/Table1[[#This Row],[goal]]</f>
        <v>0.96</v>
      </c>
      <c r="I141" t="s">
        <v>14</v>
      </c>
      <c r="J141">
        <v>115</v>
      </c>
      <c r="K141" s="8">
        <f>IFERROR(Table1[[#This Row],[pledged]]/Table1[[#This Row],[backers_count]],"NA")</f>
        <v>80.139130434782615</v>
      </c>
      <c r="L141" t="s">
        <v>21</v>
      </c>
      <c r="M141" t="s">
        <v>22</v>
      </c>
      <c r="N141">
        <v>1348808400</v>
      </c>
      <c r="O141">
        <v>1349326800</v>
      </c>
      <c r="P141" s="11">
        <f>+(((Table1[[#This Row],[launched_at]]/60)/60)/24)+DATE(1970,1,1)</f>
        <v>41180.208333333336</v>
      </c>
      <c r="Q141" s="11">
        <f>+(((Table1[[#This Row],[deadline]]/60)/60)/24)+DATE(1970,1,1)</f>
        <v>41186.208333333336</v>
      </c>
      <c r="R141" t="b">
        <v>0</v>
      </c>
      <c r="S141" t="b">
        <v>0</v>
      </c>
      <c r="T141" t="s">
        <v>292</v>
      </c>
      <c r="U141" t="str">
        <f>+LEFT(Table1[[#This Row],[category &amp; sub-category]],FIND("/",Table1[[#This Row],[category &amp; sub-category]])-1)</f>
        <v>games</v>
      </c>
      <c r="V141" t="str">
        <f>+RIGHT(Table1[[#This Row],[category &amp; sub-category]],LEN(Table1[[#This Row],[category &amp; sub-category]])-SEARCH("/",Table1[[#This Row],[category &amp; sub-category]]))</f>
        <v>mobile games</v>
      </c>
    </row>
    <row r="142" spans="2:22" ht="15.75" customHeight="1" x14ac:dyDescent="0.25">
      <c r="B142">
        <v>139</v>
      </c>
      <c r="C142" t="s">
        <v>330</v>
      </c>
      <c r="D142" s="3" t="s">
        <v>331</v>
      </c>
      <c r="E142" s="6">
        <v>92100</v>
      </c>
      <c r="F142" s="6">
        <v>19246</v>
      </c>
      <c r="G142" s="17">
        <f>ROUND(Table1[[#This Row],[pledged]]/Table1[[#This Row],[goal]]*100,2)</f>
        <v>20.9</v>
      </c>
      <c r="H142" s="5">
        <f>+Table1[[#This Row],[pledged]]/Table1[[#This Row],[goal]]</f>
        <v>0.20896851248642778</v>
      </c>
      <c r="I142" t="s">
        <v>14</v>
      </c>
      <c r="J142">
        <v>326</v>
      </c>
      <c r="K142" s="8">
        <f>IFERROR(Table1[[#This Row],[pledged]]/Table1[[#This Row],[backers_count]],"NA")</f>
        <v>59.036809815950917</v>
      </c>
      <c r="L142" t="s">
        <v>21</v>
      </c>
      <c r="M142" t="s">
        <v>22</v>
      </c>
      <c r="N142">
        <v>1429592400</v>
      </c>
      <c r="O142">
        <v>1430974800</v>
      </c>
      <c r="P142" s="11">
        <f>+(((Table1[[#This Row],[launched_at]]/60)/60)/24)+DATE(1970,1,1)</f>
        <v>42115.208333333328</v>
      </c>
      <c r="Q142" s="11">
        <f>+(((Table1[[#This Row],[deadline]]/60)/60)/24)+DATE(1970,1,1)</f>
        <v>42131.208333333328</v>
      </c>
      <c r="R142" t="b">
        <v>0</v>
      </c>
      <c r="S142" t="b">
        <v>1</v>
      </c>
      <c r="T142" t="s">
        <v>65</v>
      </c>
      <c r="U142" t="str">
        <f>+LEFT(Table1[[#This Row],[category &amp; sub-category]],FIND("/",Table1[[#This Row],[category &amp; sub-category]])-1)</f>
        <v>technology</v>
      </c>
      <c r="V142" t="str">
        <f>+RIGHT(Table1[[#This Row],[category &amp; sub-category]],LEN(Table1[[#This Row],[category &amp; sub-category]])-SEARCH("/",Table1[[#This Row],[category &amp; sub-category]]))</f>
        <v>wearables</v>
      </c>
    </row>
    <row r="143" spans="2:22" ht="15.75" customHeight="1" x14ac:dyDescent="0.25">
      <c r="B143">
        <v>140</v>
      </c>
      <c r="C143" t="s">
        <v>332</v>
      </c>
      <c r="D143" s="3" t="s">
        <v>333</v>
      </c>
      <c r="E143" s="6">
        <v>5500</v>
      </c>
      <c r="F143" s="6">
        <v>12274</v>
      </c>
      <c r="G143" s="17">
        <f>ROUND(Table1[[#This Row],[pledged]]/Table1[[#This Row],[goal]]*100,2)</f>
        <v>223.16</v>
      </c>
      <c r="H143" s="5">
        <f>+Table1[[#This Row],[pledged]]/Table1[[#This Row],[goal]]</f>
        <v>2.2316363636363636</v>
      </c>
      <c r="I143" t="s">
        <v>20</v>
      </c>
      <c r="J143">
        <v>186</v>
      </c>
      <c r="K143" s="8">
        <f>IFERROR(Table1[[#This Row],[pledged]]/Table1[[#This Row],[backers_count]],"NA")</f>
        <v>65.989247311827953</v>
      </c>
      <c r="L143" t="s">
        <v>21</v>
      </c>
      <c r="M143" t="s">
        <v>22</v>
      </c>
      <c r="N143">
        <v>1519538400</v>
      </c>
      <c r="O143">
        <v>1519970400</v>
      </c>
      <c r="P143" s="11">
        <f>+(((Table1[[#This Row],[launched_at]]/60)/60)/24)+DATE(1970,1,1)</f>
        <v>43156.25</v>
      </c>
      <c r="Q143" s="11">
        <f>+(((Table1[[#This Row],[deadline]]/60)/60)/24)+DATE(1970,1,1)</f>
        <v>43161.25</v>
      </c>
      <c r="R143" t="b">
        <v>0</v>
      </c>
      <c r="S143" t="b">
        <v>0</v>
      </c>
      <c r="T143" t="s">
        <v>42</v>
      </c>
      <c r="U143" t="str">
        <f>+LEFT(Table1[[#This Row],[category &amp; sub-category]],FIND("/",Table1[[#This Row],[category &amp; sub-category]])-1)</f>
        <v>film &amp; video</v>
      </c>
      <c r="V143" t="str">
        <f>+RIGHT(Table1[[#This Row],[category &amp; sub-category]],LEN(Table1[[#This Row],[category &amp; sub-category]])-SEARCH("/",Table1[[#This Row],[category &amp; sub-category]]))</f>
        <v>documentary</v>
      </c>
    </row>
    <row r="144" spans="2:22" ht="15.75" customHeight="1" x14ac:dyDescent="0.25">
      <c r="B144">
        <v>141</v>
      </c>
      <c r="C144" t="s">
        <v>334</v>
      </c>
      <c r="D144" s="3" t="s">
        <v>335</v>
      </c>
      <c r="E144" s="6">
        <v>64300</v>
      </c>
      <c r="F144" s="6">
        <v>65323</v>
      </c>
      <c r="G144" s="17">
        <f>ROUND(Table1[[#This Row],[pledged]]/Table1[[#This Row],[goal]]*100,2)</f>
        <v>101.59</v>
      </c>
      <c r="H144" s="5">
        <f>+Table1[[#This Row],[pledged]]/Table1[[#This Row],[goal]]</f>
        <v>1.0159097978227061</v>
      </c>
      <c r="I144" t="s">
        <v>20</v>
      </c>
      <c r="J144">
        <v>1071</v>
      </c>
      <c r="K144" s="8">
        <f>IFERROR(Table1[[#This Row],[pledged]]/Table1[[#This Row],[backers_count]],"NA")</f>
        <v>60.992530345471522</v>
      </c>
      <c r="L144" t="s">
        <v>21</v>
      </c>
      <c r="M144" t="s">
        <v>22</v>
      </c>
      <c r="N144">
        <v>1434085200</v>
      </c>
      <c r="O144">
        <v>1434603600</v>
      </c>
      <c r="P144" s="11">
        <f>+(((Table1[[#This Row],[launched_at]]/60)/60)/24)+DATE(1970,1,1)</f>
        <v>42167.208333333328</v>
      </c>
      <c r="Q144" s="11">
        <f>+(((Table1[[#This Row],[deadline]]/60)/60)/24)+DATE(1970,1,1)</f>
        <v>42173.208333333328</v>
      </c>
      <c r="R144" t="b">
        <v>0</v>
      </c>
      <c r="S144" t="b">
        <v>0</v>
      </c>
      <c r="T144" t="s">
        <v>28</v>
      </c>
      <c r="U144" t="str">
        <f>+LEFT(Table1[[#This Row],[category &amp; sub-category]],FIND("/",Table1[[#This Row],[category &amp; sub-category]])-1)</f>
        <v>technology</v>
      </c>
      <c r="V144" t="str">
        <f>+RIGHT(Table1[[#This Row],[category &amp; sub-category]],LEN(Table1[[#This Row],[category &amp; sub-category]])-SEARCH("/",Table1[[#This Row],[category &amp; sub-category]]))</f>
        <v>web</v>
      </c>
    </row>
    <row r="145" spans="2:22" ht="15.75" customHeight="1" x14ac:dyDescent="0.25">
      <c r="B145">
        <v>142</v>
      </c>
      <c r="C145" t="s">
        <v>336</v>
      </c>
      <c r="D145" s="3" t="s">
        <v>337</v>
      </c>
      <c r="E145" s="6">
        <v>5000</v>
      </c>
      <c r="F145" s="6">
        <v>11502</v>
      </c>
      <c r="G145" s="17">
        <f>ROUND(Table1[[#This Row],[pledged]]/Table1[[#This Row],[goal]]*100,2)</f>
        <v>230.04</v>
      </c>
      <c r="H145" s="5">
        <f>+Table1[[#This Row],[pledged]]/Table1[[#This Row],[goal]]</f>
        <v>2.3003999999999998</v>
      </c>
      <c r="I145" t="s">
        <v>20</v>
      </c>
      <c r="J145">
        <v>117</v>
      </c>
      <c r="K145" s="8">
        <f>IFERROR(Table1[[#This Row],[pledged]]/Table1[[#This Row],[backers_count]],"NA")</f>
        <v>98.307692307692307</v>
      </c>
      <c r="L145" t="s">
        <v>21</v>
      </c>
      <c r="M145" t="s">
        <v>22</v>
      </c>
      <c r="N145">
        <v>1333688400</v>
      </c>
      <c r="O145">
        <v>1337230800</v>
      </c>
      <c r="P145" s="11">
        <f>+(((Table1[[#This Row],[launched_at]]/60)/60)/24)+DATE(1970,1,1)</f>
        <v>41005.208333333336</v>
      </c>
      <c r="Q145" s="11">
        <f>+(((Table1[[#This Row],[deadline]]/60)/60)/24)+DATE(1970,1,1)</f>
        <v>41046.208333333336</v>
      </c>
      <c r="R145" t="b">
        <v>0</v>
      </c>
      <c r="S145" t="b">
        <v>0</v>
      </c>
      <c r="T145" t="s">
        <v>28</v>
      </c>
      <c r="U145" t="str">
        <f>+LEFT(Table1[[#This Row],[category &amp; sub-category]],FIND("/",Table1[[#This Row],[category &amp; sub-category]])-1)</f>
        <v>technology</v>
      </c>
      <c r="V145" t="str">
        <f>+RIGHT(Table1[[#This Row],[category &amp; sub-category]],LEN(Table1[[#This Row],[category &amp; sub-category]])-SEARCH("/",Table1[[#This Row],[category &amp; sub-category]]))</f>
        <v>web</v>
      </c>
    </row>
    <row r="146" spans="2:22" ht="15.75" customHeight="1" x14ac:dyDescent="0.25">
      <c r="B146">
        <v>143</v>
      </c>
      <c r="C146" t="s">
        <v>338</v>
      </c>
      <c r="D146" s="3" t="s">
        <v>339</v>
      </c>
      <c r="E146" s="6">
        <v>5400</v>
      </c>
      <c r="F146" s="6">
        <v>7322</v>
      </c>
      <c r="G146" s="17">
        <f>ROUND(Table1[[#This Row],[pledged]]/Table1[[#This Row],[goal]]*100,2)</f>
        <v>135.59</v>
      </c>
      <c r="H146" s="5">
        <f>+Table1[[#This Row],[pledged]]/Table1[[#This Row],[goal]]</f>
        <v>1.355925925925926</v>
      </c>
      <c r="I146" t="s">
        <v>20</v>
      </c>
      <c r="J146">
        <v>70</v>
      </c>
      <c r="K146" s="8">
        <f>IFERROR(Table1[[#This Row],[pledged]]/Table1[[#This Row],[backers_count]],"NA")</f>
        <v>104.6</v>
      </c>
      <c r="L146" t="s">
        <v>21</v>
      </c>
      <c r="M146" t="s">
        <v>22</v>
      </c>
      <c r="N146">
        <v>1277701200</v>
      </c>
      <c r="O146">
        <v>1279429200</v>
      </c>
      <c r="P146" s="11">
        <f>+(((Table1[[#This Row],[launched_at]]/60)/60)/24)+DATE(1970,1,1)</f>
        <v>40357.208333333336</v>
      </c>
      <c r="Q146" s="11">
        <f>+(((Table1[[#This Row],[deadline]]/60)/60)/24)+DATE(1970,1,1)</f>
        <v>40377.208333333336</v>
      </c>
      <c r="R146" t="b">
        <v>0</v>
      </c>
      <c r="S146" t="b">
        <v>0</v>
      </c>
      <c r="T146" t="s">
        <v>60</v>
      </c>
      <c r="U146" t="str">
        <f>+LEFT(Table1[[#This Row],[category &amp; sub-category]],FIND("/",Table1[[#This Row],[category &amp; sub-category]])-1)</f>
        <v>music</v>
      </c>
      <c r="V146" t="str">
        <f>+RIGHT(Table1[[#This Row],[category &amp; sub-category]],LEN(Table1[[#This Row],[category &amp; sub-category]])-SEARCH("/",Table1[[#This Row],[category &amp; sub-category]]))</f>
        <v>indie rock</v>
      </c>
    </row>
    <row r="147" spans="2:22" ht="15.75" customHeight="1" x14ac:dyDescent="0.25">
      <c r="B147">
        <v>144</v>
      </c>
      <c r="C147" t="s">
        <v>340</v>
      </c>
      <c r="D147" s="3" t="s">
        <v>341</v>
      </c>
      <c r="E147" s="6">
        <v>9000</v>
      </c>
      <c r="F147" s="6">
        <v>11619</v>
      </c>
      <c r="G147" s="17">
        <f>ROUND(Table1[[#This Row],[pledged]]/Table1[[#This Row],[goal]]*100,2)</f>
        <v>129.1</v>
      </c>
      <c r="H147" s="5">
        <f>+Table1[[#This Row],[pledged]]/Table1[[#This Row],[goal]]</f>
        <v>1.2909999999999999</v>
      </c>
      <c r="I147" t="s">
        <v>20</v>
      </c>
      <c r="J147">
        <v>135</v>
      </c>
      <c r="K147" s="8">
        <f>IFERROR(Table1[[#This Row],[pledged]]/Table1[[#This Row],[backers_count]],"NA")</f>
        <v>86.066666666666663</v>
      </c>
      <c r="L147" t="s">
        <v>21</v>
      </c>
      <c r="M147" t="s">
        <v>22</v>
      </c>
      <c r="N147">
        <v>1560747600</v>
      </c>
      <c r="O147">
        <v>1561438800</v>
      </c>
      <c r="P147" s="11">
        <f>+(((Table1[[#This Row],[launched_at]]/60)/60)/24)+DATE(1970,1,1)</f>
        <v>43633.208333333328</v>
      </c>
      <c r="Q147" s="11">
        <f>+(((Table1[[#This Row],[deadline]]/60)/60)/24)+DATE(1970,1,1)</f>
        <v>43641.208333333328</v>
      </c>
      <c r="R147" t="b">
        <v>0</v>
      </c>
      <c r="S147" t="b">
        <v>0</v>
      </c>
      <c r="T147" t="s">
        <v>33</v>
      </c>
      <c r="U147" t="str">
        <f>+LEFT(Table1[[#This Row],[category &amp; sub-category]],FIND("/",Table1[[#This Row],[category &amp; sub-category]])-1)</f>
        <v>theater</v>
      </c>
      <c r="V147" t="str">
        <f>+RIGHT(Table1[[#This Row],[category &amp; sub-category]],LEN(Table1[[#This Row],[category &amp; sub-category]])-SEARCH("/",Table1[[#This Row],[category &amp; sub-category]]))</f>
        <v>plays</v>
      </c>
    </row>
    <row r="148" spans="2:22" ht="15.75" customHeight="1" x14ac:dyDescent="0.25">
      <c r="B148">
        <v>145</v>
      </c>
      <c r="C148" t="s">
        <v>342</v>
      </c>
      <c r="D148" s="3" t="s">
        <v>343</v>
      </c>
      <c r="E148" s="6">
        <v>25000</v>
      </c>
      <c r="F148" s="6">
        <v>59128</v>
      </c>
      <c r="G148" s="17">
        <f>ROUND(Table1[[#This Row],[pledged]]/Table1[[#This Row],[goal]]*100,2)</f>
        <v>236.51</v>
      </c>
      <c r="H148" s="5">
        <f>+Table1[[#This Row],[pledged]]/Table1[[#This Row],[goal]]</f>
        <v>2.3651200000000001</v>
      </c>
      <c r="I148" t="s">
        <v>20</v>
      </c>
      <c r="J148">
        <v>768</v>
      </c>
      <c r="K148" s="8">
        <f>IFERROR(Table1[[#This Row],[pledged]]/Table1[[#This Row],[backers_count]],"NA")</f>
        <v>76.989583333333329</v>
      </c>
      <c r="L148" t="s">
        <v>98</v>
      </c>
      <c r="M148" t="s">
        <v>99</v>
      </c>
      <c r="N148">
        <v>1410066000</v>
      </c>
      <c r="O148">
        <v>1410498000</v>
      </c>
      <c r="P148" s="11">
        <f>+(((Table1[[#This Row],[launched_at]]/60)/60)/24)+DATE(1970,1,1)</f>
        <v>41889.208333333336</v>
      </c>
      <c r="Q148" s="11">
        <f>+(((Table1[[#This Row],[deadline]]/60)/60)/24)+DATE(1970,1,1)</f>
        <v>41894.208333333336</v>
      </c>
      <c r="R148" t="b">
        <v>0</v>
      </c>
      <c r="S148" t="b">
        <v>0</v>
      </c>
      <c r="T148" t="s">
        <v>65</v>
      </c>
      <c r="U148" t="str">
        <f>+LEFT(Table1[[#This Row],[category &amp; sub-category]],FIND("/",Table1[[#This Row],[category &amp; sub-category]])-1)</f>
        <v>technology</v>
      </c>
      <c r="V148" t="str">
        <f>+RIGHT(Table1[[#This Row],[category &amp; sub-category]],LEN(Table1[[#This Row],[category &amp; sub-category]])-SEARCH("/",Table1[[#This Row],[category &amp; sub-category]]))</f>
        <v>wearables</v>
      </c>
    </row>
    <row r="149" spans="2:22" ht="15.75" customHeight="1" x14ac:dyDescent="0.25">
      <c r="B149">
        <v>146</v>
      </c>
      <c r="C149" t="s">
        <v>344</v>
      </c>
      <c r="D149" s="3" t="s">
        <v>345</v>
      </c>
      <c r="E149" s="6">
        <v>8800</v>
      </c>
      <c r="F149" s="6">
        <v>1518</v>
      </c>
      <c r="G149" s="17">
        <f>ROUND(Table1[[#This Row],[pledged]]/Table1[[#This Row],[goal]]*100,2)</f>
        <v>17.25</v>
      </c>
      <c r="H149" s="5">
        <f>+Table1[[#This Row],[pledged]]/Table1[[#This Row],[goal]]</f>
        <v>0.17249999999999999</v>
      </c>
      <c r="I149" t="s">
        <v>74</v>
      </c>
      <c r="J149">
        <v>51</v>
      </c>
      <c r="K149" s="8">
        <f>IFERROR(Table1[[#This Row],[pledged]]/Table1[[#This Row],[backers_count]],"NA")</f>
        <v>29.764705882352942</v>
      </c>
      <c r="L149" t="s">
        <v>21</v>
      </c>
      <c r="M149" t="s">
        <v>22</v>
      </c>
      <c r="N149">
        <v>1320732000</v>
      </c>
      <c r="O149">
        <v>1322460000</v>
      </c>
      <c r="P149" s="11">
        <f>+(((Table1[[#This Row],[launched_at]]/60)/60)/24)+DATE(1970,1,1)</f>
        <v>40855.25</v>
      </c>
      <c r="Q149" s="11">
        <f>+(((Table1[[#This Row],[deadline]]/60)/60)/24)+DATE(1970,1,1)</f>
        <v>40875.25</v>
      </c>
      <c r="R149" t="b">
        <v>0</v>
      </c>
      <c r="S149" t="b">
        <v>0</v>
      </c>
      <c r="T149" t="s">
        <v>33</v>
      </c>
      <c r="U149" t="str">
        <f>+LEFT(Table1[[#This Row],[category &amp; sub-category]],FIND("/",Table1[[#This Row],[category &amp; sub-category]])-1)</f>
        <v>theater</v>
      </c>
      <c r="V149" t="str">
        <f>+RIGHT(Table1[[#This Row],[category &amp; sub-category]],LEN(Table1[[#This Row],[category &amp; sub-category]])-SEARCH("/",Table1[[#This Row],[category &amp; sub-category]]))</f>
        <v>plays</v>
      </c>
    </row>
    <row r="150" spans="2:22" ht="15.75" customHeight="1" x14ac:dyDescent="0.25">
      <c r="B150">
        <v>147</v>
      </c>
      <c r="C150" t="s">
        <v>346</v>
      </c>
      <c r="D150" s="3" t="s">
        <v>347</v>
      </c>
      <c r="E150" s="6">
        <v>8300</v>
      </c>
      <c r="F150" s="6">
        <v>9337</v>
      </c>
      <c r="G150" s="17">
        <f>ROUND(Table1[[#This Row],[pledged]]/Table1[[#This Row],[goal]]*100,2)</f>
        <v>112.49</v>
      </c>
      <c r="H150" s="5">
        <f>+Table1[[#This Row],[pledged]]/Table1[[#This Row],[goal]]</f>
        <v>1.1249397590361445</v>
      </c>
      <c r="I150" t="s">
        <v>20</v>
      </c>
      <c r="J150">
        <v>199</v>
      </c>
      <c r="K150" s="8">
        <f>IFERROR(Table1[[#This Row],[pledged]]/Table1[[#This Row],[backers_count]],"NA")</f>
        <v>46.91959798994975</v>
      </c>
      <c r="L150" t="s">
        <v>21</v>
      </c>
      <c r="M150" t="s">
        <v>22</v>
      </c>
      <c r="N150">
        <v>1465794000</v>
      </c>
      <c r="O150">
        <v>1466312400</v>
      </c>
      <c r="P150" s="11">
        <f>+(((Table1[[#This Row],[launched_at]]/60)/60)/24)+DATE(1970,1,1)</f>
        <v>42534.208333333328</v>
      </c>
      <c r="Q150" s="11">
        <f>+(((Table1[[#This Row],[deadline]]/60)/60)/24)+DATE(1970,1,1)</f>
        <v>42540.208333333328</v>
      </c>
      <c r="R150" t="b">
        <v>0</v>
      </c>
      <c r="S150" t="b">
        <v>1</v>
      </c>
      <c r="T150" t="s">
        <v>33</v>
      </c>
      <c r="U150" t="str">
        <f>+LEFT(Table1[[#This Row],[category &amp; sub-category]],FIND("/",Table1[[#This Row],[category &amp; sub-category]])-1)</f>
        <v>theater</v>
      </c>
      <c r="V150" t="str">
        <f>+RIGHT(Table1[[#This Row],[category &amp; sub-category]],LEN(Table1[[#This Row],[category &amp; sub-category]])-SEARCH("/",Table1[[#This Row],[category &amp; sub-category]]))</f>
        <v>plays</v>
      </c>
    </row>
    <row r="151" spans="2:22" ht="15.75" customHeight="1" x14ac:dyDescent="0.25">
      <c r="B151">
        <v>148</v>
      </c>
      <c r="C151" t="s">
        <v>348</v>
      </c>
      <c r="D151" s="3" t="s">
        <v>349</v>
      </c>
      <c r="E151" s="6">
        <v>9300</v>
      </c>
      <c r="F151" s="6">
        <v>11255</v>
      </c>
      <c r="G151" s="17">
        <f>ROUND(Table1[[#This Row],[pledged]]/Table1[[#This Row],[goal]]*100,2)</f>
        <v>121.02</v>
      </c>
      <c r="H151" s="5">
        <f>+Table1[[#This Row],[pledged]]/Table1[[#This Row],[goal]]</f>
        <v>1.2102150537634409</v>
      </c>
      <c r="I151" t="s">
        <v>20</v>
      </c>
      <c r="J151">
        <v>107</v>
      </c>
      <c r="K151" s="8">
        <f>IFERROR(Table1[[#This Row],[pledged]]/Table1[[#This Row],[backers_count]],"NA")</f>
        <v>105.18691588785046</v>
      </c>
      <c r="L151" t="s">
        <v>21</v>
      </c>
      <c r="M151" t="s">
        <v>22</v>
      </c>
      <c r="N151">
        <v>1500958800</v>
      </c>
      <c r="O151">
        <v>1501736400</v>
      </c>
      <c r="P151" s="11">
        <f>+(((Table1[[#This Row],[launched_at]]/60)/60)/24)+DATE(1970,1,1)</f>
        <v>42941.208333333328</v>
      </c>
      <c r="Q151" s="11">
        <f>+(((Table1[[#This Row],[deadline]]/60)/60)/24)+DATE(1970,1,1)</f>
        <v>42950.208333333328</v>
      </c>
      <c r="R151" t="b">
        <v>0</v>
      </c>
      <c r="S151" t="b">
        <v>0</v>
      </c>
      <c r="T151" t="s">
        <v>65</v>
      </c>
      <c r="U151" t="str">
        <f>+LEFT(Table1[[#This Row],[category &amp; sub-category]],FIND("/",Table1[[#This Row],[category &amp; sub-category]])-1)</f>
        <v>technology</v>
      </c>
      <c r="V151" t="str">
        <f>+RIGHT(Table1[[#This Row],[category &amp; sub-category]],LEN(Table1[[#This Row],[category &amp; sub-category]])-SEARCH("/",Table1[[#This Row],[category &amp; sub-category]]))</f>
        <v>wearables</v>
      </c>
    </row>
    <row r="152" spans="2:22" ht="15.75" customHeight="1" x14ac:dyDescent="0.25">
      <c r="B152">
        <v>149</v>
      </c>
      <c r="C152" t="s">
        <v>350</v>
      </c>
      <c r="D152" s="3" t="s">
        <v>351</v>
      </c>
      <c r="E152" s="6">
        <v>6200</v>
      </c>
      <c r="F152" s="6">
        <v>13632</v>
      </c>
      <c r="G152" s="17">
        <f>ROUND(Table1[[#This Row],[pledged]]/Table1[[#This Row],[goal]]*100,2)</f>
        <v>219.87</v>
      </c>
      <c r="H152" s="5">
        <f>+Table1[[#This Row],[pledged]]/Table1[[#This Row],[goal]]</f>
        <v>2.1987096774193549</v>
      </c>
      <c r="I152" t="s">
        <v>20</v>
      </c>
      <c r="J152">
        <v>195</v>
      </c>
      <c r="K152" s="8">
        <f>IFERROR(Table1[[#This Row],[pledged]]/Table1[[#This Row],[backers_count]],"NA")</f>
        <v>69.907692307692301</v>
      </c>
      <c r="L152" t="s">
        <v>21</v>
      </c>
      <c r="M152" t="s">
        <v>22</v>
      </c>
      <c r="N152">
        <v>1357020000</v>
      </c>
      <c r="O152">
        <v>1361512800</v>
      </c>
      <c r="P152" s="11">
        <f>+(((Table1[[#This Row],[launched_at]]/60)/60)/24)+DATE(1970,1,1)</f>
        <v>41275.25</v>
      </c>
      <c r="Q152" s="11">
        <f>+(((Table1[[#This Row],[deadline]]/60)/60)/24)+DATE(1970,1,1)</f>
        <v>41327.25</v>
      </c>
      <c r="R152" t="b">
        <v>0</v>
      </c>
      <c r="S152" t="b">
        <v>0</v>
      </c>
      <c r="T152" t="s">
        <v>60</v>
      </c>
      <c r="U152" t="str">
        <f>+LEFT(Table1[[#This Row],[category &amp; sub-category]],FIND("/",Table1[[#This Row],[category &amp; sub-category]])-1)</f>
        <v>music</v>
      </c>
      <c r="V152" t="str">
        <f>+RIGHT(Table1[[#This Row],[category &amp; sub-category]],LEN(Table1[[#This Row],[category &amp; sub-category]])-SEARCH("/",Table1[[#This Row],[category &amp; sub-category]]))</f>
        <v>indie rock</v>
      </c>
    </row>
    <row r="153" spans="2:22" ht="15.75" customHeight="1" x14ac:dyDescent="0.25">
      <c r="B153">
        <v>150</v>
      </c>
      <c r="C153" t="s">
        <v>352</v>
      </c>
      <c r="D153" s="3" t="s">
        <v>353</v>
      </c>
      <c r="E153" s="6">
        <v>100</v>
      </c>
      <c r="F153" s="6">
        <v>1</v>
      </c>
      <c r="G153" s="17">
        <f>ROUND(Table1[[#This Row],[pledged]]/Table1[[#This Row],[goal]]*100,2)</f>
        <v>1</v>
      </c>
      <c r="H153" s="5">
        <f>+Table1[[#This Row],[pledged]]/Table1[[#This Row],[goal]]</f>
        <v>0.01</v>
      </c>
      <c r="I153" t="s">
        <v>14</v>
      </c>
      <c r="J153">
        <v>1</v>
      </c>
      <c r="K153" s="8">
        <f>IFERROR(Table1[[#This Row],[pledged]]/Table1[[#This Row],[backers_count]],"NA")</f>
        <v>1</v>
      </c>
      <c r="L153" t="s">
        <v>21</v>
      </c>
      <c r="M153" t="s">
        <v>22</v>
      </c>
      <c r="N153">
        <v>1544940000</v>
      </c>
      <c r="O153">
        <v>1545026400</v>
      </c>
      <c r="P153" s="11">
        <f>+(((Table1[[#This Row],[launched_at]]/60)/60)/24)+DATE(1970,1,1)</f>
        <v>43450.25</v>
      </c>
      <c r="Q153" s="11">
        <f>+(((Table1[[#This Row],[deadline]]/60)/60)/24)+DATE(1970,1,1)</f>
        <v>43451.25</v>
      </c>
      <c r="R153" t="b">
        <v>0</v>
      </c>
      <c r="S153" t="b">
        <v>0</v>
      </c>
      <c r="T153" t="s">
        <v>23</v>
      </c>
      <c r="U153" t="str">
        <f>+LEFT(Table1[[#This Row],[category &amp; sub-category]],FIND("/",Table1[[#This Row],[category &amp; sub-category]])-1)</f>
        <v>music</v>
      </c>
      <c r="V153" t="str">
        <f>+RIGHT(Table1[[#This Row],[category &amp; sub-category]],LEN(Table1[[#This Row],[category &amp; sub-category]])-SEARCH("/",Table1[[#This Row],[category &amp; sub-category]]))</f>
        <v>rock</v>
      </c>
    </row>
    <row r="154" spans="2:22" ht="15.75" customHeight="1" x14ac:dyDescent="0.25">
      <c r="B154">
        <v>151</v>
      </c>
      <c r="C154" t="s">
        <v>354</v>
      </c>
      <c r="D154" s="3" t="s">
        <v>355</v>
      </c>
      <c r="E154" s="6">
        <v>137200</v>
      </c>
      <c r="F154" s="6">
        <v>88037</v>
      </c>
      <c r="G154" s="17">
        <f>ROUND(Table1[[#This Row],[pledged]]/Table1[[#This Row],[goal]]*100,2)</f>
        <v>64.17</v>
      </c>
      <c r="H154" s="5">
        <f>+Table1[[#This Row],[pledged]]/Table1[[#This Row],[goal]]</f>
        <v>0.64166909620991253</v>
      </c>
      <c r="I154" t="s">
        <v>14</v>
      </c>
      <c r="J154">
        <v>1467</v>
      </c>
      <c r="K154" s="8">
        <f>IFERROR(Table1[[#This Row],[pledged]]/Table1[[#This Row],[backers_count]],"NA")</f>
        <v>60.011588275391958</v>
      </c>
      <c r="L154" t="s">
        <v>21</v>
      </c>
      <c r="M154" t="s">
        <v>22</v>
      </c>
      <c r="N154">
        <v>1402290000</v>
      </c>
      <c r="O154">
        <v>1406696400</v>
      </c>
      <c r="P154" s="11">
        <f>+(((Table1[[#This Row],[launched_at]]/60)/60)/24)+DATE(1970,1,1)</f>
        <v>41799.208333333336</v>
      </c>
      <c r="Q154" s="11">
        <f>+(((Table1[[#This Row],[deadline]]/60)/60)/24)+DATE(1970,1,1)</f>
        <v>41850.208333333336</v>
      </c>
      <c r="R154" t="b">
        <v>0</v>
      </c>
      <c r="S154" t="b">
        <v>0</v>
      </c>
      <c r="T154" t="s">
        <v>50</v>
      </c>
      <c r="U154" t="str">
        <f>+LEFT(Table1[[#This Row],[category &amp; sub-category]],FIND("/",Table1[[#This Row],[category &amp; sub-category]])-1)</f>
        <v>music</v>
      </c>
      <c r="V154" t="str">
        <f>+RIGHT(Table1[[#This Row],[category &amp; sub-category]],LEN(Table1[[#This Row],[category &amp; sub-category]])-SEARCH("/",Table1[[#This Row],[category &amp; sub-category]]))</f>
        <v>electric music</v>
      </c>
    </row>
    <row r="155" spans="2:22" ht="15.75" customHeight="1" x14ac:dyDescent="0.25">
      <c r="B155">
        <v>152</v>
      </c>
      <c r="C155" t="s">
        <v>356</v>
      </c>
      <c r="D155" s="3" t="s">
        <v>357</v>
      </c>
      <c r="E155" s="6">
        <v>41500</v>
      </c>
      <c r="F155" s="6">
        <v>175573</v>
      </c>
      <c r="G155" s="17">
        <f>ROUND(Table1[[#This Row],[pledged]]/Table1[[#This Row],[goal]]*100,2)</f>
        <v>423.07</v>
      </c>
      <c r="H155" s="5">
        <f>+Table1[[#This Row],[pledged]]/Table1[[#This Row],[goal]]</f>
        <v>4.2306746987951804</v>
      </c>
      <c r="I155" t="s">
        <v>20</v>
      </c>
      <c r="J155">
        <v>3376</v>
      </c>
      <c r="K155" s="8">
        <f>IFERROR(Table1[[#This Row],[pledged]]/Table1[[#This Row],[backers_count]],"NA")</f>
        <v>52.006220379146917</v>
      </c>
      <c r="L155" t="s">
        <v>21</v>
      </c>
      <c r="M155" t="s">
        <v>22</v>
      </c>
      <c r="N155">
        <v>1487311200</v>
      </c>
      <c r="O155">
        <v>1487916000</v>
      </c>
      <c r="P155" s="11">
        <f>+(((Table1[[#This Row],[launched_at]]/60)/60)/24)+DATE(1970,1,1)</f>
        <v>42783.25</v>
      </c>
      <c r="Q155" s="11">
        <f>+(((Table1[[#This Row],[deadline]]/60)/60)/24)+DATE(1970,1,1)</f>
        <v>42790.25</v>
      </c>
      <c r="R155" t="b">
        <v>0</v>
      </c>
      <c r="S155" t="b">
        <v>0</v>
      </c>
      <c r="T155" t="s">
        <v>60</v>
      </c>
      <c r="U155" t="str">
        <f>+LEFT(Table1[[#This Row],[category &amp; sub-category]],FIND("/",Table1[[#This Row],[category &amp; sub-category]])-1)</f>
        <v>music</v>
      </c>
      <c r="V155" t="str">
        <f>+RIGHT(Table1[[#This Row],[category &amp; sub-category]],LEN(Table1[[#This Row],[category &amp; sub-category]])-SEARCH("/",Table1[[#This Row],[category &amp; sub-category]]))</f>
        <v>indie rock</v>
      </c>
    </row>
    <row r="156" spans="2:22" ht="15.75" customHeight="1" x14ac:dyDescent="0.25">
      <c r="B156">
        <v>153</v>
      </c>
      <c r="C156" t="s">
        <v>358</v>
      </c>
      <c r="D156" s="3" t="s">
        <v>359</v>
      </c>
      <c r="E156" s="6">
        <v>189400</v>
      </c>
      <c r="F156" s="6">
        <v>176112</v>
      </c>
      <c r="G156" s="17">
        <f>ROUND(Table1[[#This Row],[pledged]]/Table1[[#This Row],[goal]]*100,2)</f>
        <v>92.98</v>
      </c>
      <c r="H156" s="5">
        <f>+Table1[[#This Row],[pledged]]/Table1[[#This Row],[goal]]</f>
        <v>0.92984160506863778</v>
      </c>
      <c r="I156" t="s">
        <v>14</v>
      </c>
      <c r="J156">
        <v>5681</v>
      </c>
      <c r="K156" s="8">
        <f>IFERROR(Table1[[#This Row],[pledged]]/Table1[[#This Row],[backers_count]],"NA")</f>
        <v>31.000176025347649</v>
      </c>
      <c r="L156" t="s">
        <v>21</v>
      </c>
      <c r="M156" t="s">
        <v>22</v>
      </c>
      <c r="N156">
        <v>1350622800</v>
      </c>
      <c r="O156">
        <v>1351141200</v>
      </c>
      <c r="P156" s="11">
        <f>+(((Table1[[#This Row],[launched_at]]/60)/60)/24)+DATE(1970,1,1)</f>
        <v>41201.208333333336</v>
      </c>
      <c r="Q156" s="11">
        <f>+(((Table1[[#This Row],[deadline]]/60)/60)/24)+DATE(1970,1,1)</f>
        <v>41207.208333333336</v>
      </c>
      <c r="R156" t="b">
        <v>0</v>
      </c>
      <c r="S156" t="b">
        <v>0</v>
      </c>
      <c r="T156" t="s">
        <v>33</v>
      </c>
      <c r="U156" t="str">
        <f>+LEFT(Table1[[#This Row],[category &amp; sub-category]],FIND("/",Table1[[#This Row],[category &amp; sub-category]])-1)</f>
        <v>theater</v>
      </c>
      <c r="V156" t="str">
        <f>+RIGHT(Table1[[#This Row],[category &amp; sub-category]],LEN(Table1[[#This Row],[category &amp; sub-category]])-SEARCH("/",Table1[[#This Row],[category &amp; sub-category]]))</f>
        <v>plays</v>
      </c>
    </row>
    <row r="157" spans="2:22" ht="15.75" customHeight="1" x14ac:dyDescent="0.25">
      <c r="B157">
        <v>154</v>
      </c>
      <c r="C157" t="s">
        <v>360</v>
      </c>
      <c r="D157" s="3" t="s">
        <v>361</v>
      </c>
      <c r="E157" s="6">
        <v>171300</v>
      </c>
      <c r="F157" s="6">
        <v>100650</v>
      </c>
      <c r="G157" s="17">
        <f>ROUND(Table1[[#This Row],[pledged]]/Table1[[#This Row],[goal]]*100,2)</f>
        <v>58.76</v>
      </c>
      <c r="H157" s="5">
        <f>+Table1[[#This Row],[pledged]]/Table1[[#This Row],[goal]]</f>
        <v>0.58756567425569173</v>
      </c>
      <c r="I157" t="s">
        <v>14</v>
      </c>
      <c r="J157">
        <v>1059</v>
      </c>
      <c r="K157" s="8">
        <f>IFERROR(Table1[[#This Row],[pledged]]/Table1[[#This Row],[backers_count]],"NA")</f>
        <v>95.042492917847028</v>
      </c>
      <c r="L157" t="s">
        <v>21</v>
      </c>
      <c r="M157" t="s">
        <v>22</v>
      </c>
      <c r="N157">
        <v>1463029200</v>
      </c>
      <c r="O157">
        <v>1465016400</v>
      </c>
      <c r="P157" s="11">
        <f>+(((Table1[[#This Row],[launched_at]]/60)/60)/24)+DATE(1970,1,1)</f>
        <v>42502.208333333328</v>
      </c>
      <c r="Q157" s="11">
        <f>+(((Table1[[#This Row],[deadline]]/60)/60)/24)+DATE(1970,1,1)</f>
        <v>42525.208333333328</v>
      </c>
      <c r="R157" t="b">
        <v>0</v>
      </c>
      <c r="S157" t="b">
        <v>1</v>
      </c>
      <c r="T157" t="s">
        <v>60</v>
      </c>
      <c r="U157" t="str">
        <f>+LEFT(Table1[[#This Row],[category &amp; sub-category]],FIND("/",Table1[[#This Row],[category &amp; sub-category]])-1)</f>
        <v>music</v>
      </c>
      <c r="V157" t="str">
        <f>+RIGHT(Table1[[#This Row],[category &amp; sub-category]],LEN(Table1[[#This Row],[category &amp; sub-category]])-SEARCH("/",Table1[[#This Row],[category &amp; sub-category]]))</f>
        <v>indie rock</v>
      </c>
    </row>
    <row r="158" spans="2:22" ht="15.75" customHeight="1" x14ac:dyDescent="0.25">
      <c r="B158">
        <v>155</v>
      </c>
      <c r="C158" t="s">
        <v>362</v>
      </c>
      <c r="D158" s="3" t="s">
        <v>363</v>
      </c>
      <c r="E158" s="6">
        <v>139500</v>
      </c>
      <c r="F158" s="6">
        <v>90706</v>
      </c>
      <c r="G158" s="17">
        <f>ROUND(Table1[[#This Row],[pledged]]/Table1[[#This Row],[goal]]*100,2)</f>
        <v>65.02</v>
      </c>
      <c r="H158" s="5">
        <f>+Table1[[#This Row],[pledged]]/Table1[[#This Row],[goal]]</f>
        <v>0.65022222222222226</v>
      </c>
      <c r="I158" t="s">
        <v>14</v>
      </c>
      <c r="J158">
        <v>1194</v>
      </c>
      <c r="K158" s="8">
        <f>IFERROR(Table1[[#This Row],[pledged]]/Table1[[#This Row],[backers_count]],"NA")</f>
        <v>75.968174204355108</v>
      </c>
      <c r="L158" t="s">
        <v>21</v>
      </c>
      <c r="M158" t="s">
        <v>22</v>
      </c>
      <c r="N158">
        <v>1269493200</v>
      </c>
      <c r="O158">
        <v>1270789200</v>
      </c>
      <c r="P158" s="11">
        <f>+(((Table1[[#This Row],[launched_at]]/60)/60)/24)+DATE(1970,1,1)</f>
        <v>40262.208333333336</v>
      </c>
      <c r="Q158" s="11">
        <f>+(((Table1[[#This Row],[deadline]]/60)/60)/24)+DATE(1970,1,1)</f>
        <v>40277.208333333336</v>
      </c>
      <c r="R158" t="b">
        <v>0</v>
      </c>
      <c r="S158" t="b">
        <v>0</v>
      </c>
      <c r="T158" t="s">
        <v>33</v>
      </c>
      <c r="U158" t="str">
        <f>+LEFT(Table1[[#This Row],[category &amp; sub-category]],FIND("/",Table1[[#This Row],[category &amp; sub-category]])-1)</f>
        <v>theater</v>
      </c>
      <c r="V158" t="str">
        <f>+RIGHT(Table1[[#This Row],[category &amp; sub-category]],LEN(Table1[[#This Row],[category &amp; sub-category]])-SEARCH("/",Table1[[#This Row],[category &amp; sub-category]]))</f>
        <v>plays</v>
      </c>
    </row>
    <row r="159" spans="2:22" ht="15.75" customHeight="1" x14ac:dyDescent="0.25">
      <c r="B159">
        <v>156</v>
      </c>
      <c r="C159" t="s">
        <v>364</v>
      </c>
      <c r="D159" s="3" t="s">
        <v>365</v>
      </c>
      <c r="E159" s="6">
        <v>36400</v>
      </c>
      <c r="F159" s="6">
        <v>26914</v>
      </c>
      <c r="G159" s="17">
        <f>ROUND(Table1[[#This Row],[pledged]]/Table1[[#This Row],[goal]]*100,2)</f>
        <v>73.94</v>
      </c>
      <c r="H159" s="5">
        <f>+Table1[[#This Row],[pledged]]/Table1[[#This Row],[goal]]</f>
        <v>0.73939560439560437</v>
      </c>
      <c r="I159" t="s">
        <v>74</v>
      </c>
      <c r="J159">
        <v>379</v>
      </c>
      <c r="K159" s="8">
        <f>IFERROR(Table1[[#This Row],[pledged]]/Table1[[#This Row],[backers_count]],"NA")</f>
        <v>71.013192612137203</v>
      </c>
      <c r="L159" t="s">
        <v>26</v>
      </c>
      <c r="M159" t="s">
        <v>27</v>
      </c>
      <c r="N159">
        <v>1570251600</v>
      </c>
      <c r="O159">
        <v>1572325200</v>
      </c>
      <c r="P159" s="11">
        <f>+(((Table1[[#This Row],[launched_at]]/60)/60)/24)+DATE(1970,1,1)</f>
        <v>43743.208333333328</v>
      </c>
      <c r="Q159" s="11">
        <f>+(((Table1[[#This Row],[deadline]]/60)/60)/24)+DATE(1970,1,1)</f>
        <v>43767.208333333328</v>
      </c>
      <c r="R159" t="b">
        <v>0</v>
      </c>
      <c r="S159" t="b">
        <v>0</v>
      </c>
      <c r="T159" t="s">
        <v>23</v>
      </c>
      <c r="U159" t="str">
        <f>+LEFT(Table1[[#This Row],[category &amp; sub-category]],FIND("/",Table1[[#This Row],[category &amp; sub-category]])-1)</f>
        <v>music</v>
      </c>
      <c r="V159" t="str">
        <f>+RIGHT(Table1[[#This Row],[category &amp; sub-category]],LEN(Table1[[#This Row],[category &amp; sub-category]])-SEARCH("/",Table1[[#This Row],[category &amp; sub-category]]))</f>
        <v>rock</v>
      </c>
    </row>
    <row r="160" spans="2:22" ht="15.75" customHeight="1" x14ac:dyDescent="0.25">
      <c r="B160">
        <v>157</v>
      </c>
      <c r="C160" t="s">
        <v>366</v>
      </c>
      <c r="D160" s="3" t="s">
        <v>367</v>
      </c>
      <c r="E160" s="6">
        <v>4200</v>
      </c>
      <c r="F160" s="6">
        <v>2212</v>
      </c>
      <c r="G160" s="17">
        <f>ROUND(Table1[[#This Row],[pledged]]/Table1[[#This Row],[goal]]*100,2)</f>
        <v>52.67</v>
      </c>
      <c r="H160" s="5">
        <f>+Table1[[#This Row],[pledged]]/Table1[[#This Row],[goal]]</f>
        <v>0.52666666666666662</v>
      </c>
      <c r="I160" t="s">
        <v>14</v>
      </c>
      <c r="J160">
        <v>30</v>
      </c>
      <c r="K160" s="8">
        <f>IFERROR(Table1[[#This Row],[pledged]]/Table1[[#This Row],[backers_count]],"NA")</f>
        <v>73.733333333333334</v>
      </c>
      <c r="L160" t="s">
        <v>26</v>
      </c>
      <c r="M160" t="s">
        <v>27</v>
      </c>
      <c r="N160">
        <v>1388383200</v>
      </c>
      <c r="O160">
        <v>1389420000</v>
      </c>
      <c r="P160" s="11">
        <f>+(((Table1[[#This Row],[launched_at]]/60)/60)/24)+DATE(1970,1,1)</f>
        <v>41638.25</v>
      </c>
      <c r="Q160" s="11">
        <f>+(((Table1[[#This Row],[deadline]]/60)/60)/24)+DATE(1970,1,1)</f>
        <v>41650.25</v>
      </c>
      <c r="R160" t="b">
        <v>0</v>
      </c>
      <c r="S160" t="b">
        <v>0</v>
      </c>
      <c r="T160" t="s">
        <v>122</v>
      </c>
      <c r="U160" t="str">
        <f>+LEFT(Table1[[#This Row],[category &amp; sub-category]],FIND("/",Table1[[#This Row],[category &amp; sub-category]])-1)</f>
        <v>photography</v>
      </c>
      <c r="V160" t="str">
        <f>+RIGHT(Table1[[#This Row],[category &amp; sub-category]],LEN(Table1[[#This Row],[category &amp; sub-category]])-SEARCH("/",Table1[[#This Row],[category &amp; sub-category]]))</f>
        <v>photography books</v>
      </c>
    </row>
    <row r="161" spans="2:22" ht="15.75" customHeight="1" x14ac:dyDescent="0.25">
      <c r="B161">
        <v>158</v>
      </c>
      <c r="C161" t="s">
        <v>368</v>
      </c>
      <c r="D161" s="3" t="s">
        <v>369</v>
      </c>
      <c r="E161" s="6">
        <v>2100</v>
      </c>
      <c r="F161" s="6">
        <v>4640</v>
      </c>
      <c r="G161" s="17">
        <f>ROUND(Table1[[#This Row],[pledged]]/Table1[[#This Row],[goal]]*100,2)</f>
        <v>220.95</v>
      </c>
      <c r="H161" s="5">
        <f>+Table1[[#This Row],[pledged]]/Table1[[#This Row],[goal]]</f>
        <v>2.2095238095238097</v>
      </c>
      <c r="I161" t="s">
        <v>20</v>
      </c>
      <c r="J161">
        <v>41</v>
      </c>
      <c r="K161" s="8">
        <f>IFERROR(Table1[[#This Row],[pledged]]/Table1[[#This Row],[backers_count]],"NA")</f>
        <v>113.17073170731707</v>
      </c>
      <c r="L161" t="s">
        <v>21</v>
      </c>
      <c r="M161" t="s">
        <v>22</v>
      </c>
      <c r="N161">
        <v>1449554400</v>
      </c>
      <c r="O161">
        <v>1449640800</v>
      </c>
      <c r="P161" s="11">
        <f>+(((Table1[[#This Row],[launched_at]]/60)/60)/24)+DATE(1970,1,1)</f>
        <v>42346.25</v>
      </c>
      <c r="Q161" s="11">
        <f>+(((Table1[[#This Row],[deadline]]/60)/60)/24)+DATE(1970,1,1)</f>
        <v>42347.25</v>
      </c>
      <c r="R161" t="b">
        <v>0</v>
      </c>
      <c r="S161" t="b">
        <v>0</v>
      </c>
      <c r="T161" t="s">
        <v>23</v>
      </c>
      <c r="U161" t="str">
        <f>+LEFT(Table1[[#This Row],[category &amp; sub-category]],FIND("/",Table1[[#This Row],[category &amp; sub-category]])-1)</f>
        <v>music</v>
      </c>
      <c r="V161" t="str">
        <f>+RIGHT(Table1[[#This Row],[category &amp; sub-category]],LEN(Table1[[#This Row],[category &amp; sub-category]])-SEARCH("/",Table1[[#This Row],[category &amp; sub-category]]))</f>
        <v>rock</v>
      </c>
    </row>
    <row r="162" spans="2:22" ht="15.75" customHeight="1" x14ac:dyDescent="0.25">
      <c r="B162">
        <v>159</v>
      </c>
      <c r="C162" t="s">
        <v>370</v>
      </c>
      <c r="D162" s="3" t="s">
        <v>371</v>
      </c>
      <c r="E162" s="6">
        <v>191200</v>
      </c>
      <c r="F162" s="6">
        <v>191222</v>
      </c>
      <c r="G162" s="17">
        <f>ROUND(Table1[[#This Row],[pledged]]/Table1[[#This Row],[goal]]*100,2)</f>
        <v>100.01</v>
      </c>
      <c r="H162" s="5">
        <f>+Table1[[#This Row],[pledged]]/Table1[[#This Row],[goal]]</f>
        <v>1.0001150627615063</v>
      </c>
      <c r="I162" t="s">
        <v>20</v>
      </c>
      <c r="J162">
        <v>1821</v>
      </c>
      <c r="K162" s="8">
        <f>IFERROR(Table1[[#This Row],[pledged]]/Table1[[#This Row],[backers_count]],"NA")</f>
        <v>105.00933552992861</v>
      </c>
      <c r="L162" t="s">
        <v>21</v>
      </c>
      <c r="M162" t="s">
        <v>22</v>
      </c>
      <c r="N162">
        <v>1553662800</v>
      </c>
      <c r="O162">
        <v>1555218000</v>
      </c>
      <c r="P162" s="11">
        <f>+(((Table1[[#This Row],[launched_at]]/60)/60)/24)+DATE(1970,1,1)</f>
        <v>43551.208333333328</v>
      </c>
      <c r="Q162" s="11">
        <f>+(((Table1[[#This Row],[deadline]]/60)/60)/24)+DATE(1970,1,1)</f>
        <v>43569.208333333328</v>
      </c>
      <c r="R162" t="b">
        <v>0</v>
      </c>
      <c r="S162" t="b">
        <v>1</v>
      </c>
      <c r="T162" t="s">
        <v>33</v>
      </c>
      <c r="U162" t="str">
        <f>+LEFT(Table1[[#This Row],[category &amp; sub-category]],FIND("/",Table1[[#This Row],[category &amp; sub-category]])-1)</f>
        <v>theater</v>
      </c>
      <c r="V162" t="str">
        <f>+RIGHT(Table1[[#This Row],[category &amp; sub-category]],LEN(Table1[[#This Row],[category &amp; sub-category]])-SEARCH("/",Table1[[#This Row],[category &amp; sub-category]]))</f>
        <v>plays</v>
      </c>
    </row>
    <row r="163" spans="2:22" ht="15.75" customHeight="1" x14ac:dyDescent="0.25">
      <c r="B163">
        <v>160</v>
      </c>
      <c r="C163" t="s">
        <v>372</v>
      </c>
      <c r="D163" s="3" t="s">
        <v>373</v>
      </c>
      <c r="E163" s="6">
        <v>8000</v>
      </c>
      <c r="F163" s="6">
        <v>12985</v>
      </c>
      <c r="G163" s="17">
        <f>ROUND(Table1[[#This Row],[pledged]]/Table1[[#This Row],[goal]]*100,2)</f>
        <v>162.31</v>
      </c>
      <c r="H163" s="5">
        <f>+Table1[[#This Row],[pledged]]/Table1[[#This Row],[goal]]</f>
        <v>1.6231249999999999</v>
      </c>
      <c r="I163" t="s">
        <v>20</v>
      </c>
      <c r="J163">
        <v>164</v>
      </c>
      <c r="K163" s="8">
        <f>IFERROR(Table1[[#This Row],[pledged]]/Table1[[#This Row],[backers_count]],"NA")</f>
        <v>79.176829268292678</v>
      </c>
      <c r="L163" t="s">
        <v>21</v>
      </c>
      <c r="M163" t="s">
        <v>22</v>
      </c>
      <c r="N163">
        <v>1556341200</v>
      </c>
      <c r="O163">
        <v>1557723600</v>
      </c>
      <c r="P163" s="11">
        <f>+(((Table1[[#This Row],[launched_at]]/60)/60)/24)+DATE(1970,1,1)</f>
        <v>43582.208333333328</v>
      </c>
      <c r="Q163" s="11">
        <f>+(((Table1[[#This Row],[deadline]]/60)/60)/24)+DATE(1970,1,1)</f>
        <v>43598.208333333328</v>
      </c>
      <c r="R163" t="b">
        <v>0</v>
      </c>
      <c r="S163" t="b">
        <v>0</v>
      </c>
      <c r="T163" t="s">
        <v>65</v>
      </c>
      <c r="U163" t="str">
        <f>+LEFT(Table1[[#This Row],[category &amp; sub-category]],FIND("/",Table1[[#This Row],[category &amp; sub-category]])-1)</f>
        <v>technology</v>
      </c>
      <c r="V163" t="str">
        <f>+RIGHT(Table1[[#This Row],[category &amp; sub-category]],LEN(Table1[[#This Row],[category &amp; sub-category]])-SEARCH("/",Table1[[#This Row],[category &amp; sub-category]]))</f>
        <v>wearables</v>
      </c>
    </row>
    <row r="164" spans="2:22" ht="15.75" customHeight="1" x14ac:dyDescent="0.25">
      <c r="B164">
        <v>161</v>
      </c>
      <c r="C164" t="s">
        <v>374</v>
      </c>
      <c r="D164" s="3" t="s">
        <v>375</v>
      </c>
      <c r="E164" s="6">
        <v>5500</v>
      </c>
      <c r="F164" s="6">
        <v>4300</v>
      </c>
      <c r="G164" s="17">
        <f>ROUND(Table1[[#This Row],[pledged]]/Table1[[#This Row],[goal]]*100,2)</f>
        <v>78.180000000000007</v>
      </c>
      <c r="H164" s="5">
        <f>+Table1[[#This Row],[pledged]]/Table1[[#This Row],[goal]]</f>
        <v>0.78181818181818186</v>
      </c>
      <c r="I164" t="s">
        <v>14</v>
      </c>
      <c r="J164">
        <v>75</v>
      </c>
      <c r="K164" s="8">
        <f>IFERROR(Table1[[#This Row],[pledged]]/Table1[[#This Row],[backers_count]],"NA")</f>
        <v>57.333333333333336</v>
      </c>
      <c r="L164" t="s">
        <v>21</v>
      </c>
      <c r="M164" t="s">
        <v>22</v>
      </c>
      <c r="N164">
        <v>1442984400</v>
      </c>
      <c r="O164">
        <v>1443502800</v>
      </c>
      <c r="P164" s="11">
        <f>+(((Table1[[#This Row],[launched_at]]/60)/60)/24)+DATE(1970,1,1)</f>
        <v>42270.208333333328</v>
      </c>
      <c r="Q164" s="11">
        <f>+(((Table1[[#This Row],[deadline]]/60)/60)/24)+DATE(1970,1,1)</f>
        <v>42276.208333333328</v>
      </c>
      <c r="R164" t="b">
        <v>0</v>
      </c>
      <c r="S164" t="b">
        <v>1</v>
      </c>
      <c r="T164" t="s">
        <v>28</v>
      </c>
      <c r="U164" t="str">
        <f>+LEFT(Table1[[#This Row],[category &amp; sub-category]],FIND("/",Table1[[#This Row],[category &amp; sub-category]])-1)</f>
        <v>technology</v>
      </c>
      <c r="V164" t="str">
        <f>+RIGHT(Table1[[#This Row],[category &amp; sub-category]],LEN(Table1[[#This Row],[category &amp; sub-category]])-SEARCH("/",Table1[[#This Row],[category &amp; sub-category]]))</f>
        <v>web</v>
      </c>
    </row>
    <row r="165" spans="2:22" ht="15.75" customHeight="1" x14ac:dyDescent="0.25">
      <c r="B165">
        <v>162</v>
      </c>
      <c r="C165" t="s">
        <v>376</v>
      </c>
      <c r="D165" s="3" t="s">
        <v>377</v>
      </c>
      <c r="E165" s="6">
        <v>6100</v>
      </c>
      <c r="F165" s="6">
        <v>9134</v>
      </c>
      <c r="G165" s="17">
        <f>ROUND(Table1[[#This Row],[pledged]]/Table1[[#This Row],[goal]]*100,2)</f>
        <v>149.74</v>
      </c>
      <c r="H165" s="5">
        <f>+Table1[[#This Row],[pledged]]/Table1[[#This Row],[goal]]</f>
        <v>1.4973770491803278</v>
      </c>
      <c r="I165" t="s">
        <v>20</v>
      </c>
      <c r="J165">
        <v>157</v>
      </c>
      <c r="K165" s="8">
        <f>IFERROR(Table1[[#This Row],[pledged]]/Table1[[#This Row],[backers_count]],"NA")</f>
        <v>58.178343949044589</v>
      </c>
      <c r="L165" t="s">
        <v>98</v>
      </c>
      <c r="M165" t="s">
        <v>99</v>
      </c>
      <c r="N165">
        <v>1544248800</v>
      </c>
      <c r="O165">
        <v>1546840800</v>
      </c>
      <c r="P165" s="11">
        <f>+(((Table1[[#This Row],[launched_at]]/60)/60)/24)+DATE(1970,1,1)</f>
        <v>43442.25</v>
      </c>
      <c r="Q165" s="11">
        <f>+(((Table1[[#This Row],[deadline]]/60)/60)/24)+DATE(1970,1,1)</f>
        <v>43472.25</v>
      </c>
      <c r="R165" t="b">
        <v>0</v>
      </c>
      <c r="S165" t="b">
        <v>0</v>
      </c>
      <c r="T165" t="s">
        <v>23</v>
      </c>
      <c r="U165" t="str">
        <f>+LEFT(Table1[[#This Row],[category &amp; sub-category]],FIND("/",Table1[[#This Row],[category &amp; sub-category]])-1)</f>
        <v>music</v>
      </c>
      <c r="V165" t="str">
        <f>+RIGHT(Table1[[#This Row],[category &amp; sub-category]],LEN(Table1[[#This Row],[category &amp; sub-category]])-SEARCH("/",Table1[[#This Row],[category &amp; sub-category]]))</f>
        <v>rock</v>
      </c>
    </row>
    <row r="166" spans="2:22" ht="15.75" customHeight="1" x14ac:dyDescent="0.25">
      <c r="B166">
        <v>163</v>
      </c>
      <c r="C166" t="s">
        <v>378</v>
      </c>
      <c r="D166" s="3" t="s">
        <v>379</v>
      </c>
      <c r="E166" s="6">
        <v>3500</v>
      </c>
      <c r="F166" s="6">
        <v>8864</v>
      </c>
      <c r="G166" s="17">
        <f>ROUND(Table1[[#This Row],[pledged]]/Table1[[#This Row],[goal]]*100,2)</f>
        <v>253.26</v>
      </c>
      <c r="H166" s="5">
        <f>+Table1[[#This Row],[pledged]]/Table1[[#This Row],[goal]]</f>
        <v>2.5325714285714285</v>
      </c>
      <c r="I166" t="s">
        <v>20</v>
      </c>
      <c r="J166">
        <v>246</v>
      </c>
      <c r="K166" s="8">
        <f>IFERROR(Table1[[#This Row],[pledged]]/Table1[[#This Row],[backers_count]],"NA")</f>
        <v>36.032520325203251</v>
      </c>
      <c r="L166" t="s">
        <v>21</v>
      </c>
      <c r="M166" t="s">
        <v>22</v>
      </c>
      <c r="N166">
        <v>1508475600</v>
      </c>
      <c r="O166">
        <v>1512712800</v>
      </c>
      <c r="P166" s="11">
        <f>+(((Table1[[#This Row],[launched_at]]/60)/60)/24)+DATE(1970,1,1)</f>
        <v>43028.208333333328</v>
      </c>
      <c r="Q166" s="11">
        <f>+(((Table1[[#This Row],[deadline]]/60)/60)/24)+DATE(1970,1,1)</f>
        <v>43077.25</v>
      </c>
      <c r="R166" t="b">
        <v>0</v>
      </c>
      <c r="S166" t="b">
        <v>1</v>
      </c>
      <c r="T166" t="s">
        <v>122</v>
      </c>
      <c r="U166" t="str">
        <f>+LEFT(Table1[[#This Row],[category &amp; sub-category]],FIND("/",Table1[[#This Row],[category &amp; sub-category]])-1)</f>
        <v>photography</v>
      </c>
      <c r="V166" t="str">
        <f>+RIGHT(Table1[[#This Row],[category &amp; sub-category]],LEN(Table1[[#This Row],[category &amp; sub-category]])-SEARCH("/",Table1[[#This Row],[category &amp; sub-category]]))</f>
        <v>photography books</v>
      </c>
    </row>
    <row r="167" spans="2:22" ht="15.75" customHeight="1" x14ac:dyDescent="0.25">
      <c r="B167">
        <v>164</v>
      </c>
      <c r="C167" t="s">
        <v>380</v>
      </c>
      <c r="D167" s="3" t="s">
        <v>381</v>
      </c>
      <c r="E167" s="6">
        <v>150500</v>
      </c>
      <c r="F167" s="6">
        <v>150755</v>
      </c>
      <c r="G167" s="17">
        <f>ROUND(Table1[[#This Row],[pledged]]/Table1[[#This Row],[goal]]*100,2)</f>
        <v>100.17</v>
      </c>
      <c r="H167" s="5">
        <f>+Table1[[#This Row],[pledged]]/Table1[[#This Row],[goal]]</f>
        <v>1.0016943521594683</v>
      </c>
      <c r="I167" t="s">
        <v>20</v>
      </c>
      <c r="J167">
        <v>1396</v>
      </c>
      <c r="K167" s="8">
        <f>IFERROR(Table1[[#This Row],[pledged]]/Table1[[#This Row],[backers_count]],"NA")</f>
        <v>107.99068767908309</v>
      </c>
      <c r="L167" t="s">
        <v>21</v>
      </c>
      <c r="M167" t="s">
        <v>22</v>
      </c>
      <c r="N167">
        <v>1507438800</v>
      </c>
      <c r="O167">
        <v>1507525200</v>
      </c>
      <c r="P167" s="11">
        <f>+(((Table1[[#This Row],[launched_at]]/60)/60)/24)+DATE(1970,1,1)</f>
        <v>43016.208333333328</v>
      </c>
      <c r="Q167" s="11">
        <f>+(((Table1[[#This Row],[deadline]]/60)/60)/24)+DATE(1970,1,1)</f>
        <v>43017.208333333328</v>
      </c>
      <c r="R167" t="b">
        <v>0</v>
      </c>
      <c r="S167" t="b">
        <v>0</v>
      </c>
      <c r="T167" t="s">
        <v>33</v>
      </c>
      <c r="U167" t="str">
        <f>+LEFT(Table1[[#This Row],[category &amp; sub-category]],FIND("/",Table1[[#This Row],[category &amp; sub-category]])-1)</f>
        <v>theater</v>
      </c>
      <c r="V167" t="str">
        <f>+RIGHT(Table1[[#This Row],[category &amp; sub-category]],LEN(Table1[[#This Row],[category &amp; sub-category]])-SEARCH("/",Table1[[#This Row],[category &amp; sub-category]]))</f>
        <v>plays</v>
      </c>
    </row>
    <row r="168" spans="2:22" ht="15.75" customHeight="1" x14ac:dyDescent="0.25">
      <c r="B168">
        <v>165</v>
      </c>
      <c r="C168" t="s">
        <v>382</v>
      </c>
      <c r="D168" s="3" t="s">
        <v>383</v>
      </c>
      <c r="E168" s="6">
        <v>90400</v>
      </c>
      <c r="F168" s="6">
        <v>110279</v>
      </c>
      <c r="G168" s="17">
        <f>ROUND(Table1[[#This Row],[pledged]]/Table1[[#This Row],[goal]]*100,2)</f>
        <v>121.99</v>
      </c>
      <c r="H168" s="5">
        <f>+Table1[[#This Row],[pledged]]/Table1[[#This Row],[goal]]</f>
        <v>1.2199004424778761</v>
      </c>
      <c r="I168" t="s">
        <v>20</v>
      </c>
      <c r="J168">
        <v>2506</v>
      </c>
      <c r="K168" s="8">
        <f>IFERROR(Table1[[#This Row],[pledged]]/Table1[[#This Row],[backers_count]],"NA")</f>
        <v>44.005985634477256</v>
      </c>
      <c r="L168" t="s">
        <v>21</v>
      </c>
      <c r="M168" t="s">
        <v>22</v>
      </c>
      <c r="N168">
        <v>1501563600</v>
      </c>
      <c r="O168">
        <v>1504328400</v>
      </c>
      <c r="P168" s="11">
        <f>+(((Table1[[#This Row],[launched_at]]/60)/60)/24)+DATE(1970,1,1)</f>
        <v>42948.208333333328</v>
      </c>
      <c r="Q168" s="11">
        <f>+(((Table1[[#This Row],[deadline]]/60)/60)/24)+DATE(1970,1,1)</f>
        <v>42980.208333333328</v>
      </c>
      <c r="R168" t="b">
        <v>0</v>
      </c>
      <c r="S168" t="b">
        <v>0</v>
      </c>
      <c r="T168" t="s">
        <v>28</v>
      </c>
      <c r="U168" t="str">
        <f>+LEFT(Table1[[#This Row],[category &amp; sub-category]],FIND("/",Table1[[#This Row],[category &amp; sub-category]])-1)</f>
        <v>technology</v>
      </c>
      <c r="V168" t="str">
        <f>+RIGHT(Table1[[#This Row],[category &amp; sub-category]],LEN(Table1[[#This Row],[category &amp; sub-category]])-SEARCH("/",Table1[[#This Row],[category &amp; sub-category]]))</f>
        <v>web</v>
      </c>
    </row>
    <row r="169" spans="2:22" ht="15.75" customHeight="1" x14ac:dyDescent="0.25">
      <c r="B169">
        <v>166</v>
      </c>
      <c r="C169" t="s">
        <v>384</v>
      </c>
      <c r="D169" s="3" t="s">
        <v>385</v>
      </c>
      <c r="E169" s="6">
        <v>9800</v>
      </c>
      <c r="F169" s="6">
        <v>13439</v>
      </c>
      <c r="G169" s="17">
        <f>ROUND(Table1[[#This Row],[pledged]]/Table1[[#This Row],[goal]]*100,2)</f>
        <v>137.13</v>
      </c>
      <c r="H169" s="5">
        <f>+Table1[[#This Row],[pledged]]/Table1[[#This Row],[goal]]</f>
        <v>1.3713265306122449</v>
      </c>
      <c r="I169" t="s">
        <v>20</v>
      </c>
      <c r="J169">
        <v>244</v>
      </c>
      <c r="K169" s="8">
        <f>IFERROR(Table1[[#This Row],[pledged]]/Table1[[#This Row],[backers_count]],"NA")</f>
        <v>55.077868852459019</v>
      </c>
      <c r="L169" t="s">
        <v>21</v>
      </c>
      <c r="M169" t="s">
        <v>22</v>
      </c>
      <c r="N169">
        <v>1292997600</v>
      </c>
      <c r="O169">
        <v>1293343200</v>
      </c>
      <c r="P169" s="11">
        <f>+(((Table1[[#This Row],[launched_at]]/60)/60)/24)+DATE(1970,1,1)</f>
        <v>40534.25</v>
      </c>
      <c r="Q169" s="11">
        <f>+(((Table1[[#This Row],[deadline]]/60)/60)/24)+DATE(1970,1,1)</f>
        <v>40538.25</v>
      </c>
      <c r="R169" t="b">
        <v>0</v>
      </c>
      <c r="S169" t="b">
        <v>0</v>
      </c>
      <c r="T169" t="s">
        <v>122</v>
      </c>
      <c r="U169" t="str">
        <f>+LEFT(Table1[[#This Row],[category &amp; sub-category]],FIND("/",Table1[[#This Row],[category &amp; sub-category]])-1)</f>
        <v>photography</v>
      </c>
      <c r="V169" t="str">
        <f>+RIGHT(Table1[[#This Row],[category &amp; sub-category]],LEN(Table1[[#This Row],[category &amp; sub-category]])-SEARCH("/",Table1[[#This Row],[category &amp; sub-category]]))</f>
        <v>photography books</v>
      </c>
    </row>
    <row r="170" spans="2:22" ht="15.75" customHeight="1" x14ac:dyDescent="0.25">
      <c r="B170">
        <v>167</v>
      </c>
      <c r="C170" t="s">
        <v>386</v>
      </c>
      <c r="D170" s="3" t="s">
        <v>387</v>
      </c>
      <c r="E170" s="6">
        <v>2600</v>
      </c>
      <c r="F170" s="6">
        <v>10804</v>
      </c>
      <c r="G170" s="17">
        <f>ROUND(Table1[[#This Row],[pledged]]/Table1[[#This Row],[goal]]*100,2)</f>
        <v>415.54</v>
      </c>
      <c r="H170" s="5">
        <f>+Table1[[#This Row],[pledged]]/Table1[[#This Row],[goal]]</f>
        <v>4.155384615384615</v>
      </c>
      <c r="I170" t="s">
        <v>20</v>
      </c>
      <c r="J170">
        <v>146</v>
      </c>
      <c r="K170" s="8">
        <f>IFERROR(Table1[[#This Row],[pledged]]/Table1[[#This Row],[backers_count]],"NA")</f>
        <v>74</v>
      </c>
      <c r="L170" t="s">
        <v>26</v>
      </c>
      <c r="M170" t="s">
        <v>27</v>
      </c>
      <c r="N170">
        <v>1370840400</v>
      </c>
      <c r="O170">
        <v>1371704400</v>
      </c>
      <c r="P170" s="11">
        <f>+(((Table1[[#This Row],[launched_at]]/60)/60)/24)+DATE(1970,1,1)</f>
        <v>41435.208333333336</v>
      </c>
      <c r="Q170" s="11">
        <f>+(((Table1[[#This Row],[deadline]]/60)/60)/24)+DATE(1970,1,1)</f>
        <v>41445.208333333336</v>
      </c>
      <c r="R170" t="b">
        <v>0</v>
      </c>
      <c r="S170" t="b">
        <v>0</v>
      </c>
      <c r="T170" t="s">
        <v>33</v>
      </c>
      <c r="U170" t="str">
        <f>+LEFT(Table1[[#This Row],[category &amp; sub-category]],FIND("/",Table1[[#This Row],[category &amp; sub-category]])-1)</f>
        <v>theater</v>
      </c>
      <c r="V170" t="str">
        <f>+RIGHT(Table1[[#This Row],[category &amp; sub-category]],LEN(Table1[[#This Row],[category &amp; sub-category]])-SEARCH("/",Table1[[#This Row],[category &amp; sub-category]]))</f>
        <v>plays</v>
      </c>
    </row>
    <row r="171" spans="2:22" ht="15.75" customHeight="1" x14ac:dyDescent="0.25">
      <c r="B171">
        <v>168</v>
      </c>
      <c r="C171" t="s">
        <v>388</v>
      </c>
      <c r="D171" s="3" t="s">
        <v>389</v>
      </c>
      <c r="E171" s="6">
        <v>128100</v>
      </c>
      <c r="F171" s="6">
        <v>40107</v>
      </c>
      <c r="G171" s="17">
        <f>ROUND(Table1[[#This Row],[pledged]]/Table1[[#This Row],[goal]]*100,2)</f>
        <v>31.31</v>
      </c>
      <c r="H171" s="5">
        <f>+Table1[[#This Row],[pledged]]/Table1[[#This Row],[goal]]</f>
        <v>0.3130913348946136</v>
      </c>
      <c r="I171" t="s">
        <v>14</v>
      </c>
      <c r="J171">
        <v>955</v>
      </c>
      <c r="K171" s="8">
        <f>IFERROR(Table1[[#This Row],[pledged]]/Table1[[#This Row],[backers_count]],"NA")</f>
        <v>41.996858638743454</v>
      </c>
      <c r="L171" t="s">
        <v>36</v>
      </c>
      <c r="M171" t="s">
        <v>37</v>
      </c>
      <c r="N171">
        <v>1550815200</v>
      </c>
      <c r="O171">
        <v>1552798800</v>
      </c>
      <c r="P171" s="11">
        <f>+(((Table1[[#This Row],[launched_at]]/60)/60)/24)+DATE(1970,1,1)</f>
        <v>43518.25</v>
      </c>
      <c r="Q171" s="11">
        <f>+(((Table1[[#This Row],[deadline]]/60)/60)/24)+DATE(1970,1,1)</f>
        <v>43541.208333333328</v>
      </c>
      <c r="R171" t="b">
        <v>0</v>
      </c>
      <c r="S171" t="b">
        <v>1</v>
      </c>
      <c r="T171" t="s">
        <v>60</v>
      </c>
      <c r="U171" t="str">
        <f>+LEFT(Table1[[#This Row],[category &amp; sub-category]],FIND("/",Table1[[#This Row],[category &amp; sub-category]])-1)</f>
        <v>music</v>
      </c>
      <c r="V171" t="str">
        <f>+RIGHT(Table1[[#This Row],[category &amp; sub-category]],LEN(Table1[[#This Row],[category &amp; sub-category]])-SEARCH("/",Table1[[#This Row],[category &amp; sub-category]]))</f>
        <v>indie rock</v>
      </c>
    </row>
    <row r="172" spans="2:22" ht="15.75" customHeight="1" x14ac:dyDescent="0.25">
      <c r="B172">
        <v>169</v>
      </c>
      <c r="C172" t="s">
        <v>390</v>
      </c>
      <c r="D172" s="3" t="s">
        <v>391</v>
      </c>
      <c r="E172" s="6">
        <v>23300</v>
      </c>
      <c r="F172" s="6">
        <v>98811</v>
      </c>
      <c r="G172" s="17">
        <f>ROUND(Table1[[#This Row],[pledged]]/Table1[[#This Row],[goal]]*100,2)</f>
        <v>424.08</v>
      </c>
      <c r="H172" s="5">
        <f>+Table1[[#This Row],[pledged]]/Table1[[#This Row],[goal]]</f>
        <v>4.240815450643777</v>
      </c>
      <c r="I172" t="s">
        <v>20</v>
      </c>
      <c r="J172">
        <v>1267</v>
      </c>
      <c r="K172" s="8">
        <f>IFERROR(Table1[[#This Row],[pledged]]/Table1[[#This Row],[backers_count]],"NA")</f>
        <v>77.988161010260455</v>
      </c>
      <c r="L172" t="s">
        <v>21</v>
      </c>
      <c r="M172" t="s">
        <v>22</v>
      </c>
      <c r="N172">
        <v>1339909200</v>
      </c>
      <c r="O172">
        <v>1342328400</v>
      </c>
      <c r="P172" s="11">
        <f>+(((Table1[[#This Row],[launched_at]]/60)/60)/24)+DATE(1970,1,1)</f>
        <v>41077.208333333336</v>
      </c>
      <c r="Q172" s="11">
        <f>+(((Table1[[#This Row],[deadline]]/60)/60)/24)+DATE(1970,1,1)</f>
        <v>41105.208333333336</v>
      </c>
      <c r="R172" t="b">
        <v>0</v>
      </c>
      <c r="S172" t="b">
        <v>1</v>
      </c>
      <c r="T172" t="s">
        <v>100</v>
      </c>
      <c r="U172" t="str">
        <f>+LEFT(Table1[[#This Row],[category &amp; sub-category]],FIND("/",Table1[[#This Row],[category &amp; sub-category]])-1)</f>
        <v>film &amp; video</v>
      </c>
      <c r="V172" t="str">
        <f>+RIGHT(Table1[[#This Row],[category &amp; sub-category]],LEN(Table1[[#This Row],[category &amp; sub-category]])-SEARCH("/",Table1[[#This Row],[category &amp; sub-category]]))</f>
        <v>shorts</v>
      </c>
    </row>
    <row r="173" spans="2:22" ht="15.75" customHeight="1" x14ac:dyDescent="0.25">
      <c r="B173">
        <v>170</v>
      </c>
      <c r="C173" t="s">
        <v>392</v>
      </c>
      <c r="D173" s="3" t="s">
        <v>393</v>
      </c>
      <c r="E173" s="6">
        <v>188100</v>
      </c>
      <c r="F173" s="6">
        <v>5528</v>
      </c>
      <c r="G173" s="17">
        <f>ROUND(Table1[[#This Row],[pledged]]/Table1[[#This Row],[goal]]*100,2)</f>
        <v>2.94</v>
      </c>
      <c r="H173" s="5">
        <f>+Table1[[#This Row],[pledged]]/Table1[[#This Row],[goal]]</f>
        <v>2.9388623072833599E-2</v>
      </c>
      <c r="I173" t="s">
        <v>14</v>
      </c>
      <c r="J173">
        <v>67</v>
      </c>
      <c r="K173" s="8">
        <f>IFERROR(Table1[[#This Row],[pledged]]/Table1[[#This Row],[backers_count]],"NA")</f>
        <v>82.507462686567166</v>
      </c>
      <c r="L173" t="s">
        <v>21</v>
      </c>
      <c r="M173" t="s">
        <v>22</v>
      </c>
      <c r="N173">
        <v>1501736400</v>
      </c>
      <c r="O173">
        <v>1502341200</v>
      </c>
      <c r="P173" s="11">
        <f>+(((Table1[[#This Row],[launched_at]]/60)/60)/24)+DATE(1970,1,1)</f>
        <v>42950.208333333328</v>
      </c>
      <c r="Q173" s="11">
        <f>+(((Table1[[#This Row],[deadline]]/60)/60)/24)+DATE(1970,1,1)</f>
        <v>42957.208333333328</v>
      </c>
      <c r="R173" t="b">
        <v>0</v>
      </c>
      <c r="S173" t="b">
        <v>0</v>
      </c>
      <c r="T173" t="s">
        <v>60</v>
      </c>
      <c r="U173" t="str">
        <f>+LEFT(Table1[[#This Row],[category &amp; sub-category]],FIND("/",Table1[[#This Row],[category &amp; sub-category]])-1)</f>
        <v>music</v>
      </c>
      <c r="V173" t="str">
        <f>+RIGHT(Table1[[#This Row],[category &amp; sub-category]],LEN(Table1[[#This Row],[category &amp; sub-category]])-SEARCH("/",Table1[[#This Row],[category &amp; sub-category]]))</f>
        <v>indie rock</v>
      </c>
    </row>
    <row r="174" spans="2:22" ht="15.75" customHeight="1" x14ac:dyDescent="0.25">
      <c r="B174">
        <v>171</v>
      </c>
      <c r="C174" t="s">
        <v>394</v>
      </c>
      <c r="D174" s="3" t="s">
        <v>395</v>
      </c>
      <c r="E174" s="6">
        <v>4900</v>
      </c>
      <c r="F174" s="6">
        <v>521</v>
      </c>
      <c r="G174" s="17">
        <f>ROUND(Table1[[#This Row],[pledged]]/Table1[[#This Row],[goal]]*100,2)</f>
        <v>10.63</v>
      </c>
      <c r="H174" s="5">
        <f>+Table1[[#This Row],[pledged]]/Table1[[#This Row],[goal]]</f>
        <v>0.1063265306122449</v>
      </c>
      <c r="I174" t="s">
        <v>14</v>
      </c>
      <c r="J174">
        <v>5</v>
      </c>
      <c r="K174" s="8">
        <f>IFERROR(Table1[[#This Row],[pledged]]/Table1[[#This Row],[backers_count]],"NA")</f>
        <v>104.2</v>
      </c>
      <c r="L174" t="s">
        <v>21</v>
      </c>
      <c r="M174" t="s">
        <v>22</v>
      </c>
      <c r="N174">
        <v>1395291600</v>
      </c>
      <c r="O174">
        <v>1397192400</v>
      </c>
      <c r="P174" s="11">
        <f>+(((Table1[[#This Row],[launched_at]]/60)/60)/24)+DATE(1970,1,1)</f>
        <v>41718.208333333336</v>
      </c>
      <c r="Q174" s="11">
        <f>+(((Table1[[#This Row],[deadline]]/60)/60)/24)+DATE(1970,1,1)</f>
        <v>41740.208333333336</v>
      </c>
      <c r="R174" t="b">
        <v>0</v>
      </c>
      <c r="S174" t="b">
        <v>0</v>
      </c>
      <c r="T174" t="s">
        <v>206</v>
      </c>
      <c r="U174" t="str">
        <f>+LEFT(Table1[[#This Row],[category &amp; sub-category]],FIND("/",Table1[[#This Row],[category &amp; sub-category]])-1)</f>
        <v>publishing</v>
      </c>
      <c r="V174" t="str">
        <f>+RIGHT(Table1[[#This Row],[category &amp; sub-category]],LEN(Table1[[#This Row],[category &amp; sub-category]])-SEARCH("/",Table1[[#This Row],[category &amp; sub-category]]))</f>
        <v>translations</v>
      </c>
    </row>
    <row r="175" spans="2:22" ht="15.75" customHeight="1" x14ac:dyDescent="0.25">
      <c r="B175">
        <v>172</v>
      </c>
      <c r="C175" t="s">
        <v>396</v>
      </c>
      <c r="D175" s="3" t="s">
        <v>397</v>
      </c>
      <c r="E175" s="6">
        <v>800</v>
      </c>
      <c r="F175" s="6">
        <v>663</v>
      </c>
      <c r="G175" s="17">
        <f>ROUND(Table1[[#This Row],[pledged]]/Table1[[#This Row],[goal]]*100,2)</f>
        <v>82.88</v>
      </c>
      <c r="H175" s="5">
        <f>+Table1[[#This Row],[pledged]]/Table1[[#This Row],[goal]]</f>
        <v>0.82874999999999999</v>
      </c>
      <c r="I175" t="s">
        <v>14</v>
      </c>
      <c r="J175">
        <v>26</v>
      </c>
      <c r="K175" s="8">
        <f>IFERROR(Table1[[#This Row],[pledged]]/Table1[[#This Row],[backers_count]],"NA")</f>
        <v>25.5</v>
      </c>
      <c r="L175" t="s">
        <v>21</v>
      </c>
      <c r="M175" t="s">
        <v>22</v>
      </c>
      <c r="N175">
        <v>1405746000</v>
      </c>
      <c r="O175">
        <v>1407042000</v>
      </c>
      <c r="P175" s="11">
        <f>+(((Table1[[#This Row],[launched_at]]/60)/60)/24)+DATE(1970,1,1)</f>
        <v>41839.208333333336</v>
      </c>
      <c r="Q175" s="11">
        <f>+(((Table1[[#This Row],[deadline]]/60)/60)/24)+DATE(1970,1,1)</f>
        <v>41854.208333333336</v>
      </c>
      <c r="R175" t="b">
        <v>0</v>
      </c>
      <c r="S175" t="b">
        <v>1</v>
      </c>
      <c r="T175" t="s">
        <v>42</v>
      </c>
      <c r="U175" t="str">
        <f>+LEFT(Table1[[#This Row],[category &amp; sub-category]],FIND("/",Table1[[#This Row],[category &amp; sub-category]])-1)</f>
        <v>film &amp; video</v>
      </c>
      <c r="V175" t="str">
        <f>+RIGHT(Table1[[#This Row],[category &amp; sub-category]],LEN(Table1[[#This Row],[category &amp; sub-category]])-SEARCH("/",Table1[[#This Row],[category &amp; sub-category]]))</f>
        <v>documentary</v>
      </c>
    </row>
    <row r="176" spans="2:22" ht="15.75" customHeight="1" x14ac:dyDescent="0.25">
      <c r="B176">
        <v>173</v>
      </c>
      <c r="C176" t="s">
        <v>398</v>
      </c>
      <c r="D176" s="3" t="s">
        <v>399</v>
      </c>
      <c r="E176" s="6">
        <v>96700</v>
      </c>
      <c r="F176" s="6">
        <v>157635</v>
      </c>
      <c r="G176" s="17">
        <f>ROUND(Table1[[#This Row],[pledged]]/Table1[[#This Row],[goal]]*100,2)</f>
        <v>163.01</v>
      </c>
      <c r="H176" s="5">
        <f>+Table1[[#This Row],[pledged]]/Table1[[#This Row],[goal]]</f>
        <v>1.6301447776628748</v>
      </c>
      <c r="I176" t="s">
        <v>20</v>
      </c>
      <c r="J176">
        <v>1561</v>
      </c>
      <c r="K176" s="8">
        <f>IFERROR(Table1[[#This Row],[pledged]]/Table1[[#This Row],[backers_count]],"NA")</f>
        <v>100.98334401024984</v>
      </c>
      <c r="L176" t="s">
        <v>21</v>
      </c>
      <c r="M176" t="s">
        <v>22</v>
      </c>
      <c r="N176">
        <v>1368853200</v>
      </c>
      <c r="O176">
        <v>1369371600</v>
      </c>
      <c r="P176" s="11">
        <f>+(((Table1[[#This Row],[launched_at]]/60)/60)/24)+DATE(1970,1,1)</f>
        <v>41412.208333333336</v>
      </c>
      <c r="Q176" s="11">
        <f>+(((Table1[[#This Row],[deadline]]/60)/60)/24)+DATE(1970,1,1)</f>
        <v>41418.208333333336</v>
      </c>
      <c r="R176" t="b">
        <v>0</v>
      </c>
      <c r="S176" t="b">
        <v>0</v>
      </c>
      <c r="T176" t="s">
        <v>33</v>
      </c>
      <c r="U176" t="str">
        <f>+LEFT(Table1[[#This Row],[category &amp; sub-category]],FIND("/",Table1[[#This Row],[category &amp; sub-category]])-1)</f>
        <v>theater</v>
      </c>
      <c r="V176" t="str">
        <f>+RIGHT(Table1[[#This Row],[category &amp; sub-category]],LEN(Table1[[#This Row],[category &amp; sub-category]])-SEARCH("/",Table1[[#This Row],[category &amp; sub-category]]))</f>
        <v>plays</v>
      </c>
    </row>
    <row r="177" spans="2:22" ht="15.75" customHeight="1" x14ac:dyDescent="0.25">
      <c r="B177">
        <v>174</v>
      </c>
      <c r="C177" t="s">
        <v>400</v>
      </c>
      <c r="D177" s="3" t="s">
        <v>401</v>
      </c>
      <c r="E177" s="6">
        <v>600</v>
      </c>
      <c r="F177" s="6">
        <v>5368</v>
      </c>
      <c r="G177" s="17">
        <f>ROUND(Table1[[#This Row],[pledged]]/Table1[[#This Row],[goal]]*100,2)</f>
        <v>894.67</v>
      </c>
      <c r="H177" s="5">
        <f>+Table1[[#This Row],[pledged]]/Table1[[#This Row],[goal]]</f>
        <v>8.9466666666666672</v>
      </c>
      <c r="I177" t="s">
        <v>20</v>
      </c>
      <c r="J177">
        <v>48</v>
      </c>
      <c r="K177" s="8">
        <f>IFERROR(Table1[[#This Row],[pledged]]/Table1[[#This Row],[backers_count]],"NA")</f>
        <v>111.83333333333333</v>
      </c>
      <c r="L177" t="s">
        <v>21</v>
      </c>
      <c r="M177" t="s">
        <v>22</v>
      </c>
      <c r="N177">
        <v>1444021200</v>
      </c>
      <c r="O177">
        <v>1444107600</v>
      </c>
      <c r="P177" s="11">
        <f>+(((Table1[[#This Row],[launched_at]]/60)/60)/24)+DATE(1970,1,1)</f>
        <v>42282.208333333328</v>
      </c>
      <c r="Q177" s="11">
        <f>+(((Table1[[#This Row],[deadline]]/60)/60)/24)+DATE(1970,1,1)</f>
        <v>42283.208333333328</v>
      </c>
      <c r="R177" t="b">
        <v>0</v>
      </c>
      <c r="S177" t="b">
        <v>1</v>
      </c>
      <c r="T177" t="s">
        <v>65</v>
      </c>
      <c r="U177" t="str">
        <f>+LEFT(Table1[[#This Row],[category &amp; sub-category]],FIND("/",Table1[[#This Row],[category &amp; sub-category]])-1)</f>
        <v>technology</v>
      </c>
      <c r="V177" t="str">
        <f>+RIGHT(Table1[[#This Row],[category &amp; sub-category]],LEN(Table1[[#This Row],[category &amp; sub-category]])-SEARCH("/",Table1[[#This Row],[category &amp; sub-category]]))</f>
        <v>wearables</v>
      </c>
    </row>
    <row r="178" spans="2:22" ht="15.75" customHeight="1" x14ac:dyDescent="0.25">
      <c r="B178">
        <v>175</v>
      </c>
      <c r="C178" t="s">
        <v>402</v>
      </c>
      <c r="D178" s="3" t="s">
        <v>403</v>
      </c>
      <c r="E178" s="6">
        <v>181200</v>
      </c>
      <c r="F178" s="6">
        <v>47459</v>
      </c>
      <c r="G178" s="17">
        <f>ROUND(Table1[[#This Row],[pledged]]/Table1[[#This Row],[goal]]*100,2)</f>
        <v>26.19</v>
      </c>
      <c r="H178" s="5">
        <f>+Table1[[#This Row],[pledged]]/Table1[[#This Row],[goal]]</f>
        <v>0.26191501103752757</v>
      </c>
      <c r="I178" t="s">
        <v>14</v>
      </c>
      <c r="J178">
        <v>1130</v>
      </c>
      <c r="K178" s="8">
        <f>IFERROR(Table1[[#This Row],[pledged]]/Table1[[#This Row],[backers_count]],"NA")</f>
        <v>41.999115044247787</v>
      </c>
      <c r="L178" t="s">
        <v>21</v>
      </c>
      <c r="M178" t="s">
        <v>22</v>
      </c>
      <c r="N178">
        <v>1472619600</v>
      </c>
      <c r="O178">
        <v>1474261200</v>
      </c>
      <c r="P178" s="11">
        <f>+(((Table1[[#This Row],[launched_at]]/60)/60)/24)+DATE(1970,1,1)</f>
        <v>42613.208333333328</v>
      </c>
      <c r="Q178" s="11">
        <f>+(((Table1[[#This Row],[deadline]]/60)/60)/24)+DATE(1970,1,1)</f>
        <v>42632.208333333328</v>
      </c>
      <c r="R178" t="b">
        <v>0</v>
      </c>
      <c r="S178" t="b">
        <v>0</v>
      </c>
      <c r="T178" t="s">
        <v>33</v>
      </c>
      <c r="U178" t="str">
        <f>+LEFT(Table1[[#This Row],[category &amp; sub-category]],FIND("/",Table1[[#This Row],[category &amp; sub-category]])-1)</f>
        <v>theater</v>
      </c>
      <c r="V178" t="str">
        <f>+RIGHT(Table1[[#This Row],[category &amp; sub-category]],LEN(Table1[[#This Row],[category &amp; sub-category]])-SEARCH("/",Table1[[#This Row],[category &amp; sub-category]]))</f>
        <v>plays</v>
      </c>
    </row>
    <row r="179" spans="2:22" ht="15.75" customHeight="1" x14ac:dyDescent="0.25">
      <c r="B179">
        <v>176</v>
      </c>
      <c r="C179" t="s">
        <v>404</v>
      </c>
      <c r="D179" s="3" t="s">
        <v>405</v>
      </c>
      <c r="E179" s="6">
        <v>115000</v>
      </c>
      <c r="F179" s="6">
        <v>86060</v>
      </c>
      <c r="G179" s="17">
        <f>ROUND(Table1[[#This Row],[pledged]]/Table1[[#This Row],[goal]]*100,2)</f>
        <v>74.83</v>
      </c>
      <c r="H179" s="5">
        <f>+Table1[[#This Row],[pledged]]/Table1[[#This Row],[goal]]</f>
        <v>0.74834782608695649</v>
      </c>
      <c r="I179" t="s">
        <v>14</v>
      </c>
      <c r="J179">
        <v>782</v>
      </c>
      <c r="K179" s="8">
        <f>IFERROR(Table1[[#This Row],[pledged]]/Table1[[#This Row],[backers_count]],"NA")</f>
        <v>110.05115089514067</v>
      </c>
      <c r="L179" t="s">
        <v>21</v>
      </c>
      <c r="M179" t="s">
        <v>22</v>
      </c>
      <c r="N179">
        <v>1472878800</v>
      </c>
      <c r="O179">
        <v>1473656400</v>
      </c>
      <c r="P179" s="11">
        <f>+(((Table1[[#This Row],[launched_at]]/60)/60)/24)+DATE(1970,1,1)</f>
        <v>42616.208333333328</v>
      </c>
      <c r="Q179" s="11">
        <f>+(((Table1[[#This Row],[deadline]]/60)/60)/24)+DATE(1970,1,1)</f>
        <v>42625.208333333328</v>
      </c>
      <c r="R179" t="b">
        <v>0</v>
      </c>
      <c r="S179" t="b">
        <v>0</v>
      </c>
      <c r="T179" t="s">
        <v>33</v>
      </c>
      <c r="U179" t="str">
        <f>+LEFT(Table1[[#This Row],[category &amp; sub-category]],FIND("/",Table1[[#This Row],[category &amp; sub-category]])-1)</f>
        <v>theater</v>
      </c>
      <c r="V179" t="str">
        <f>+RIGHT(Table1[[#This Row],[category &amp; sub-category]],LEN(Table1[[#This Row],[category &amp; sub-category]])-SEARCH("/",Table1[[#This Row],[category &amp; sub-category]]))</f>
        <v>plays</v>
      </c>
    </row>
    <row r="180" spans="2:22" ht="15.75" customHeight="1" x14ac:dyDescent="0.25">
      <c r="B180">
        <v>177</v>
      </c>
      <c r="C180" t="s">
        <v>406</v>
      </c>
      <c r="D180" s="3" t="s">
        <v>407</v>
      </c>
      <c r="E180" s="6">
        <v>38800</v>
      </c>
      <c r="F180" s="6">
        <v>161593</v>
      </c>
      <c r="G180" s="17">
        <f>ROUND(Table1[[#This Row],[pledged]]/Table1[[#This Row],[goal]]*100,2)</f>
        <v>416.48</v>
      </c>
      <c r="H180" s="5">
        <f>+Table1[[#This Row],[pledged]]/Table1[[#This Row],[goal]]</f>
        <v>4.1647680412371137</v>
      </c>
      <c r="I180" t="s">
        <v>20</v>
      </c>
      <c r="J180">
        <v>2739</v>
      </c>
      <c r="K180" s="8">
        <f>IFERROR(Table1[[#This Row],[pledged]]/Table1[[#This Row],[backers_count]],"NA")</f>
        <v>58.997079225994888</v>
      </c>
      <c r="L180" t="s">
        <v>21</v>
      </c>
      <c r="M180" t="s">
        <v>22</v>
      </c>
      <c r="N180">
        <v>1289800800</v>
      </c>
      <c r="O180">
        <v>1291960800</v>
      </c>
      <c r="P180" s="11">
        <f>+(((Table1[[#This Row],[launched_at]]/60)/60)/24)+DATE(1970,1,1)</f>
        <v>40497.25</v>
      </c>
      <c r="Q180" s="11">
        <f>+(((Table1[[#This Row],[deadline]]/60)/60)/24)+DATE(1970,1,1)</f>
        <v>40522.25</v>
      </c>
      <c r="R180" t="b">
        <v>0</v>
      </c>
      <c r="S180" t="b">
        <v>0</v>
      </c>
      <c r="T180" t="s">
        <v>33</v>
      </c>
      <c r="U180" t="str">
        <f>+LEFT(Table1[[#This Row],[category &amp; sub-category]],FIND("/",Table1[[#This Row],[category &amp; sub-category]])-1)</f>
        <v>theater</v>
      </c>
      <c r="V180" t="str">
        <f>+RIGHT(Table1[[#This Row],[category &amp; sub-category]],LEN(Table1[[#This Row],[category &amp; sub-category]])-SEARCH("/",Table1[[#This Row],[category &amp; sub-category]]))</f>
        <v>plays</v>
      </c>
    </row>
    <row r="181" spans="2:22" ht="15.75" customHeight="1" x14ac:dyDescent="0.25">
      <c r="B181">
        <v>178</v>
      </c>
      <c r="C181" t="s">
        <v>408</v>
      </c>
      <c r="D181" s="3" t="s">
        <v>409</v>
      </c>
      <c r="E181" s="6">
        <v>7200</v>
      </c>
      <c r="F181" s="6">
        <v>6927</v>
      </c>
      <c r="G181" s="17">
        <f>ROUND(Table1[[#This Row],[pledged]]/Table1[[#This Row],[goal]]*100,2)</f>
        <v>96.21</v>
      </c>
      <c r="H181" s="5">
        <f>+Table1[[#This Row],[pledged]]/Table1[[#This Row],[goal]]</f>
        <v>0.96208333333333329</v>
      </c>
      <c r="I181" t="s">
        <v>14</v>
      </c>
      <c r="J181">
        <v>210</v>
      </c>
      <c r="K181" s="8">
        <f>IFERROR(Table1[[#This Row],[pledged]]/Table1[[#This Row],[backers_count]],"NA")</f>
        <v>32.985714285714288</v>
      </c>
      <c r="L181" t="s">
        <v>21</v>
      </c>
      <c r="M181" t="s">
        <v>22</v>
      </c>
      <c r="N181">
        <v>1505970000</v>
      </c>
      <c r="O181">
        <v>1506747600</v>
      </c>
      <c r="P181" s="11">
        <f>+(((Table1[[#This Row],[launched_at]]/60)/60)/24)+DATE(1970,1,1)</f>
        <v>42999.208333333328</v>
      </c>
      <c r="Q181" s="11">
        <f>+(((Table1[[#This Row],[deadline]]/60)/60)/24)+DATE(1970,1,1)</f>
        <v>43008.208333333328</v>
      </c>
      <c r="R181" t="b">
        <v>0</v>
      </c>
      <c r="S181" t="b">
        <v>0</v>
      </c>
      <c r="T181" t="s">
        <v>17</v>
      </c>
      <c r="U181" t="str">
        <f>+LEFT(Table1[[#This Row],[category &amp; sub-category]],FIND("/",Table1[[#This Row],[category &amp; sub-category]])-1)</f>
        <v>food</v>
      </c>
      <c r="V181" t="str">
        <f>+RIGHT(Table1[[#This Row],[category &amp; sub-category]],LEN(Table1[[#This Row],[category &amp; sub-category]])-SEARCH("/",Table1[[#This Row],[category &amp; sub-category]]))</f>
        <v>food trucks</v>
      </c>
    </row>
    <row r="182" spans="2:22" ht="15.75" customHeight="1" x14ac:dyDescent="0.25">
      <c r="B182">
        <v>179</v>
      </c>
      <c r="C182" t="s">
        <v>410</v>
      </c>
      <c r="D182" s="3" t="s">
        <v>411</v>
      </c>
      <c r="E182" s="6">
        <v>44500</v>
      </c>
      <c r="F182" s="6">
        <v>159185</v>
      </c>
      <c r="G182" s="17">
        <f>ROUND(Table1[[#This Row],[pledged]]/Table1[[#This Row],[goal]]*100,2)</f>
        <v>357.72</v>
      </c>
      <c r="H182" s="5">
        <f>+Table1[[#This Row],[pledged]]/Table1[[#This Row],[goal]]</f>
        <v>3.5771910112359548</v>
      </c>
      <c r="I182" t="s">
        <v>20</v>
      </c>
      <c r="J182">
        <v>3537</v>
      </c>
      <c r="K182" s="8">
        <f>IFERROR(Table1[[#This Row],[pledged]]/Table1[[#This Row],[backers_count]],"NA")</f>
        <v>45.005654509471306</v>
      </c>
      <c r="L182" t="s">
        <v>15</v>
      </c>
      <c r="M182" t="s">
        <v>16</v>
      </c>
      <c r="N182">
        <v>1363496400</v>
      </c>
      <c r="O182">
        <v>1363582800</v>
      </c>
      <c r="P182" s="11">
        <f>+(((Table1[[#This Row],[launched_at]]/60)/60)/24)+DATE(1970,1,1)</f>
        <v>41350.208333333336</v>
      </c>
      <c r="Q182" s="11">
        <f>+(((Table1[[#This Row],[deadline]]/60)/60)/24)+DATE(1970,1,1)</f>
        <v>41351.208333333336</v>
      </c>
      <c r="R182" t="b">
        <v>0</v>
      </c>
      <c r="S182" t="b">
        <v>1</v>
      </c>
      <c r="T182" t="s">
        <v>33</v>
      </c>
      <c r="U182" t="str">
        <f>+LEFT(Table1[[#This Row],[category &amp; sub-category]],FIND("/",Table1[[#This Row],[category &amp; sub-category]])-1)</f>
        <v>theater</v>
      </c>
      <c r="V182" t="str">
        <f>+RIGHT(Table1[[#This Row],[category &amp; sub-category]],LEN(Table1[[#This Row],[category &amp; sub-category]])-SEARCH("/",Table1[[#This Row],[category &amp; sub-category]]))</f>
        <v>plays</v>
      </c>
    </row>
    <row r="183" spans="2:22" ht="15.75" customHeight="1" x14ac:dyDescent="0.25">
      <c r="B183">
        <v>180</v>
      </c>
      <c r="C183" t="s">
        <v>412</v>
      </c>
      <c r="D183" s="3" t="s">
        <v>413</v>
      </c>
      <c r="E183" s="6">
        <v>56000</v>
      </c>
      <c r="F183" s="6">
        <v>172736</v>
      </c>
      <c r="G183" s="17">
        <f>ROUND(Table1[[#This Row],[pledged]]/Table1[[#This Row],[goal]]*100,2)</f>
        <v>308.45999999999998</v>
      </c>
      <c r="H183" s="5">
        <f>+Table1[[#This Row],[pledged]]/Table1[[#This Row],[goal]]</f>
        <v>3.0845714285714285</v>
      </c>
      <c r="I183" t="s">
        <v>20</v>
      </c>
      <c r="J183">
        <v>2107</v>
      </c>
      <c r="K183" s="8">
        <f>IFERROR(Table1[[#This Row],[pledged]]/Table1[[#This Row],[backers_count]],"NA")</f>
        <v>81.98196487897485</v>
      </c>
      <c r="L183" t="s">
        <v>26</v>
      </c>
      <c r="M183" t="s">
        <v>27</v>
      </c>
      <c r="N183">
        <v>1269234000</v>
      </c>
      <c r="O183">
        <v>1269666000</v>
      </c>
      <c r="P183" s="11">
        <f>+(((Table1[[#This Row],[launched_at]]/60)/60)/24)+DATE(1970,1,1)</f>
        <v>40259.208333333336</v>
      </c>
      <c r="Q183" s="11">
        <f>+(((Table1[[#This Row],[deadline]]/60)/60)/24)+DATE(1970,1,1)</f>
        <v>40264.208333333336</v>
      </c>
      <c r="R183" t="b">
        <v>0</v>
      </c>
      <c r="S183" t="b">
        <v>0</v>
      </c>
      <c r="T183" t="s">
        <v>65</v>
      </c>
      <c r="U183" t="str">
        <f>+LEFT(Table1[[#This Row],[category &amp; sub-category]],FIND("/",Table1[[#This Row],[category &amp; sub-category]])-1)</f>
        <v>technology</v>
      </c>
      <c r="V183" t="str">
        <f>+RIGHT(Table1[[#This Row],[category &amp; sub-category]],LEN(Table1[[#This Row],[category &amp; sub-category]])-SEARCH("/",Table1[[#This Row],[category &amp; sub-category]]))</f>
        <v>wearables</v>
      </c>
    </row>
    <row r="184" spans="2:22" ht="15.75" customHeight="1" x14ac:dyDescent="0.25">
      <c r="B184">
        <v>181</v>
      </c>
      <c r="C184" t="s">
        <v>414</v>
      </c>
      <c r="D184" s="3" t="s">
        <v>415</v>
      </c>
      <c r="E184" s="6">
        <v>8600</v>
      </c>
      <c r="F184" s="6">
        <v>5315</v>
      </c>
      <c r="G184" s="17">
        <f>ROUND(Table1[[#This Row],[pledged]]/Table1[[#This Row],[goal]]*100,2)</f>
        <v>61.8</v>
      </c>
      <c r="H184" s="5">
        <f>+Table1[[#This Row],[pledged]]/Table1[[#This Row],[goal]]</f>
        <v>0.61802325581395345</v>
      </c>
      <c r="I184" t="s">
        <v>14</v>
      </c>
      <c r="J184">
        <v>136</v>
      </c>
      <c r="K184" s="8">
        <f>IFERROR(Table1[[#This Row],[pledged]]/Table1[[#This Row],[backers_count]],"NA")</f>
        <v>39.080882352941174</v>
      </c>
      <c r="L184" t="s">
        <v>21</v>
      </c>
      <c r="M184" t="s">
        <v>22</v>
      </c>
      <c r="N184">
        <v>1507093200</v>
      </c>
      <c r="O184">
        <v>1508648400</v>
      </c>
      <c r="P184" s="11">
        <f>+(((Table1[[#This Row],[launched_at]]/60)/60)/24)+DATE(1970,1,1)</f>
        <v>43012.208333333328</v>
      </c>
      <c r="Q184" s="11">
        <f>+(((Table1[[#This Row],[deadline]]/60)/60)/24)+DATE(1970,1,1)</f>
        <v>43030.208333333328</v>
      </c>
      <c r="R184" t="b">
        <v>0</v>
      </c>
      <c r="S184" t="b">
        <v>0</v>
      </c>
      <c r="T184" t="s">
        <v>28</v>
      </c>
      <c r="U184" t="str">
        <f>+LEFT(Table1[[#This Row],[category &amp; sub-category]],FIND("/",Table1[[#This Row],[category &amp; sub-category]])-1)</f>
        <v>technology</v>
      </c>
      <c r="V184" t="str">
        <f>+RIGHT(Table1[[#This Row],[category &amp; sub-category]],LEN(Table1[[#This Row],[category &amp; sub-category]])-SEARCH("/",Table1[[#This Row],[category &amp; sub-category]]))</f>
        <v>web</v>
      </c>
    </row>
    <row r="185" spans="2:22" ht="15.75" customHeight="1" x14ac:dyDescent="0.25">
      <c r="B185">
        <v>182</v>
      </c>
      <c r="C185" t="s">
        <v>416</v>
      </c>
      <c r="D185" s="3" t="s">
        <v>417</v>
      </c>
      <c r="E185" s="6">
        <v>27100</v>
      </c>
      <c r="F185" s="6">
        <v>195750</v>
      </c>
      <c r="G185" s="17">
        <f>ROUND(Table1[[#This Row],[pledged]]/Table1[[#This Row],[goal]]*100,2)</f>
        <v>722.32</v>
      </c>
      <c r="H185" s="5">
        <f>+Table1[[#This Row],[pledged]]/Table1[[#This Row],[goal]]</f>
        <v>7.2232472324723247</v>
      </c>
      <c r="I185" t="s">
        <v>20</v>
      </c>
      <c r="J185">
        <v>3318</v>
      </c>
      <c r="K185" s="8">
        <f>IFERROR(Table1[[#This Row],[pledged]]/Table1[[#This Row],[backers_count]],"NA")</f>
        <v>58.996383363471971</v>
      </c>
      <c r="L185" t="s">
        <v>36</v>
      </c>
      <c r="M185" t="s">
        <v>37</v>
      </c>
      <c r="N185">
        <v>1560574800</v>
      </c>
      <c r="O185">
        <v>1561957200</v>
      </c>
      <c r="P185" s="11">
        <f>+(((Table1[[#This Row],[launched_at]]/60)/60)/24)+DATE(1970,1,1)</f>
        <v>43631.208333333328</v>
      </c>
      <c r="Q185" s="11">
        <f>+(((Table1[[#This Row],[deadline]]/60)/60)/24)+DATE(1970,1,1)</f>
        <v>43647.208333333328</v>
      </c>
      <c r="R185" t="b">
        <v>0</v>
      </c>
      <c r="S185" t="b">
        <v>0</v>
      </c>
      <c r="T185" t="s">
        <v>33</v>
      </c>
      <c r="U185" t="str">
        <f>+LEFT(Table1[[#This Row],[category &amp; sub-category]],FIND("/",Table1[[#This Row],[category &amp; sub-category]])-1)</f>
        <v>theater</v>
      </c>
      <c r="V185" t="str">
        <f>+RIGHT(Table1[[#This Row],[category &amp; sub-category]],LEN(Table1[[#This Row],[category &amp; sub-category]])-SEARCH("/",Table1[[#This Row],[category &amp; sub-category]]))</f>
        <v>plays</v>
      </c>
    </row>
    <row r="186" spans="2:22" ht="15.75" customHeight="1" x14ac:dyDescent="0.25">
      <c r="B186">
        <v>183</v>
      </c>
      <c r="C186" t="s">
        <v>418</v>
      </c>
      <c r="D186" s="3" t="s">
        <v>419</v>
      </c>
      <c r="E186" s="6">
        <v>5100</v>
      </c>
      <c r="F186" s="6">
        <v>3525</v>
      </c>
      <c r="G186" s="17">
        <f>ROUND(Table1[[#This Row],[pledged]]/Table1[[#This Row],[goal]]*100,2)</f>
        <v>69.12</v>
      </c>
      <c r="H186" s="5">
        <f>+Table1[[#This Row],[pledged]]/Table1[[#This Row],[goal]]</f>
        <v>0.69117647058823528</v>
      </c>
      <c r="I186" t="s">
        <v>14</v>
      </c>
      <c r="J186">
        <v>86</v>
      </c>
      <c r="K186" s="8">
        <f>IFERROR(Table1[[#This Row],[pledged]]/Table1[[#This Row],[backers_count]],"NA")</f>
        <v>40.988372093023258</v>
      </c>
      <c r="L186" t="s">
        <v>15</v>
      </c>
      <c r="M186" t="s">
        <v>16</v>
      </c>
      <c r="N186">
        <v>1284008400</v>
      </c>
      <c r="O186">
        <v>1285131600</v>
      </c>
      <c r="P186" s="11">
        <f>+(((Table1[[#This Row],[launched_at]]/60)/60)/24)+DATE(1970,1,1)</f>
        <v>40430.208333333336</v>
      </c>
      <c r="Q186" s="11">
        <f>+(((Table1[[#This Row],[deadline]]/60)/60)/24)+DATE(1970,1,1)</f>
        <v>40443.208333333336</v>
      </c>
      <c r="R186" t="b">
        <v>0</v>
      </c>
      <c r="S186" t="b">
        <v>0</v>
      </c>
      <c r="T186" t="s">
        <v>23</v>
      </c>
      <c r="U186" t="str">
        <f>+LEFT(Table1[[#This Row],[category &amp; sub-category]],FIND("/",Table1[[#This Row],[category &amp; sub-category]])-1)</f>
        <v>music</v>
      </c>
      <c r="V186" t="str">
        <f>+RIGHT(Table1[[#This Row],[category &amp; sub-category]],LEN(Table1[[#This Row],[category &amp; sub-category]])-SEARCH("/",Table1[[#This Row],[category &amp; sub-category]]))</f>
        <v>rock</v>
      </c>
    </row>
    <row r="187" spans="2:22" ht="15.75" customHeight="1" x14ac:dyDescent="0.25">
      <c r="B187">
        <v>184</v>
      </c>
      <c r="C187" t="s">
        <v>420</v>
      </c>
      <c r="D187" s="3" t="s">
        <v>421</v>
      </c>
      <c r="E187" s="6">
        <v>3600</v>
      </c>
      <c r="F187" s="6">
        <v>10550</v>
      </c>
      <c r="G187" s="17">
        <f>ROUND(Table1[[#This Row],[pledged]]/Table1[[#This Row],[goal]]*100,2)</f>
        <v>293.06</v>
      </c>
      <c r="H187" s="5">
        <f>+Table1[[#This Row],[pledged]]/Table1[[#This Row],[goal]]</f>
        <v>2.9305555555555554</v>
      </c>
      <c r="I187" t="s">
        <v>20</v>
      </c>
      <c r="J187">
        <v>340</v>
      </c>
      <c r="K187" s="8">
        <f>IFERROR(Table1[[#This Row],[pledged]]/Table1[[#This Row],[backers_count]],"NA")</f>
        <v>31.029411764705884</v>
      </c>
      <c r="L187" t="s">
        <v>21</v>
      </c>
      <c r="M187" t="s">
        <v>22</v>
      </c>
      <c r="N187">
        <v>1556859600</v>
      </c>
      <c r="O187">
        <v>1556946000</v>
      </c>
      <c r="P187" s="11">
        <f>+(((Table1[[#This Row],[launched_at]]/60)/60)/24)+DATE(1970,1,1)</f>
        <v>43588.208333333328</v>
      </c>
      <c r="Q187" s="11">
        <f>+(((Table1[[#This Row],[deadline]]/60)/60)/24)+DATE(1970,1,1)</f>
        <v>43589.208333333328</v>
      </c>
      <c r="R187" t="b">
        <v>0</v>
      </c>
      <c r="S187" t="b">
        <v>0</v>
      </c>
      <c r="T187" t="s">
        <v>33</v>
      </c>
      <c r="U187" t="str">
        <f>+LEFT(Table1[[#This Row],[category &amp; sub-category]],FIND("/",Table1[[#This Row],[category &amp; sub-category]])-1)</f>
        <v>theater</v>
      </c>
      <c r="V187" t="str">
        <f>+RIGHT(Table1[[#This Row],[category &amp; sub-category]],LEN(Table1[[#This Row],[category &amp; sub-category]])-SEARCH("/",Table1[[#This Row],[category &amp; sub-category]]))</f>
        <v>plays</v>
      </c>
    </row>
    <row r="188" spans="2:22" ht="15.75" customHeight="1" x14ac:dyDescent="0.25">
      <c r="B188">
        <v>185</v>
      </c>
      <c r="C188" t="s">
        <v>422</v>
      </c>
      <c r="D188" s="3" t="s">
        <v>423</v>
      </c>
      <c r="E188" s="6">
        <v>1000</v>
      </c>
      <c r="F188" s="6">
        <v>718</v>
      </c>
      <c r="G188" s="17">
        <f>ROUND(Table1[[#This Row],[pledged]]/Table1[[#This Row],[goal]]*100,2)</f>
        <v>71.8</v>
      </c>
      <c r="H188" s="5">
        <f>+Table1[[#This Row],[pledged]]/Table1[[#This Row],[goal]]</f>
        <v>0.71799999999999997</v>
      </c>
      <c r="I188" t="s">
        <v>14</v>
      </c>
      <c r="J188">
        <v>19</v>
      </c>
      <c r="K188" s="8">
        <f>IFERROR(Table1[[#This Row],[pledged]]/Table1[[#This Row],[backers_count]],"NA")</f>
        <v>37.789473684210527</v>
      </c>
      <c r="L188" t="s">
        <v>21</v>
      </c>
      <c r="M188" t="s">
        <v>22</v>
      </c>
      <c r="N188">
        <v>1526187600</v>
      </c>
      <c r="O188">
        <v>1527138000</v>
      </c>
      <c r="P188" s="11">
        <f>+(((Table1[[#This Row],[launched_at]]/60)/60)/24)+DATE(1970,1,1)</f>
        <v>43233.208333333328</v>
      </c>
      <c r="Q188" s="11">
        <f>+(((Table1[[#This Row],[deadline]]/60)/60)/24)+DATE(1970,1,1)</f>
        <v>43244.208333333328</v>
      </c>
      <c r="R188" t="b">
        <v>0</v>
      </c>
      <c r="S188" t="b">
        <v>0</v>
      </c>
      <c r="T188" t="s">
        <v>269</v>
      </c>
      <c r="U188" t="str">
        <f>+LEFT(Table1[[#This Row],[category &amp; sub-category]],FIND("/",Table1[[#This Row],[category &amp; sub-category]])-1)</f>
        <v>film &amp; video</v>
      </c>
      <c r="V188" t="str">
        <f>+RIGHT(Table1[[#This Row],[category &amp; sub-category]],LEN(Table1[[#This Row],[category &amp; sub-category]])-SEARCH("/",Table1[[#This Row],[category &amp; sub-category]]))</f>
        <v>television</v>
      </c>
    </row>
    <row r="189" spans="2:22" ht="15.75" customHeight="1" x14ac:dyDescent="0.25">
      <c r="B189">
        <v>186</v>
      </c>
      <c r="C189" t="s">
        <v>424</v>
      </c>
      <c r="D189" s="3" t="s">
        <v>425</v>
      </c>
      <c r="E189" s="6">
        <v>88800</v>
      </c>
      <c r="F189" s="6">
        <v>28358</v>
      </c>
      <c r="G189" s="17">
        <f>ROUND(Table1[[#This Row],[pledged]]/Table1[[#This Row],[goal]]*100,2)</f>
        <v>31.93</v>
      </c>
      <c r="H189" s="5">
        <f>+Table1[[#This Row],[pledged]]/Table1[[#This Row],[goal]]</f>
        <v>0.31934684684684683</v>
      </c>
      <c r="I189" t="s">
        <v>14</v>
      </c>
      <c r="J189">
        <v>886</v>
      </c>
      <c r="K189" s="8">
        <f>IFERROR(Table1[[#This Row],[pledged]]/Table1[[#This Row],[backers_count]],"NA")</f>
        <v>32.006772009029348</v>
      </c>
      <c r="L189" t="s">
        <v>21</v>
      </c>
      <c r="M189" t="s">
        <v>22</v>
      </c>
      <c r="N189">
        <v>1400821200</v>
      </c>
      <c r="O189">
        <v>1402117200</v>
      </c>
      <c r="P189" s="11">
        <f>+(((Table1[[#This Row],[launched_at]]/60)/60)/24)+DATE(1970,1,1)</f>
        <v>41782.208333333336</v>
      </c>
      <c r="Q189" s="11">
        <f>+(((Table1[[#This Row],[deadline]]/60)/60)/24)+DATE(1970,1,1)</f>
        <v>41797.208333333336</v>
      </c>
      <c r="R189" t="b">
        <v>0</v>
      </c>
      <c r="S189" t="b">
        <v>0</v>
      </c>
      <c r="T189" t="s">
        <v>33</v>
      </c>
      <c r="U189" t="str">
        <f>+LEFT(Table1[[#This Row],[category &amp; sub-category]],FIND("/",Table1[[#This Row],[category &amp; sub-category]])-1)</f>
        <v>theater</v>
      </c>
      <c r="V189" t="str">
        <f>+RIGHT(Table1[[#This Row],[category &amp; sub-category]],LEN(Table1[[#This Row],[category &amp; sub-category]])-SEARCH("/",Table1[[#This Row],[category &amp; sub-category]]))</f>
        <v>plays</v>
      </c>
    </row>
    <row r="190" spans="2:22" ht="15.75" customHeight="1" x14ac:dyDescent="0.25">
      <c r="B190">
        <v>187</v>
      </c>
      <c r="C190" t="s">
        <v>426</v>
      </c>
      <c r="D190" s="3" t="s">
        <v>427</v>
      </c>
      <c r="E190" s="6">
        <v>60200</v>
      </c>
      <c r="F190" s="6">
        <v>138384</v>
      </c>
      <c r="G190" s="17">
        <f>ROUND(Table1[[#This Row],[pledged]]/Table1[[#This Row],[goal]]*100,2)</f>
        <v>229.87</v>
      </c>
      <c r="H190" s="5">
        <f>+Table1[[#This Row],[pledged]]/Table1[[#This Row],[goal]]</f>
        <v>2.2987375415282392</v>
      </c>
      <c r="I190" t="s">
        <v>20</v>
      </c>
      <c r="J190">
        <v>1442</v>
      </c>
      <c r="K190" s="8">
        <f>IFERROR(Table1[[#This Row],[pledged]]/Table1[[#This Row],[backers_count]],"NA")</f>
        <v>95.966712898751737</v>
      </c>
      <c r="L190" t="s">
        <v>15</v>
      </c>
      <c r="M190" t="s">
        <v>16</v>
      </c>
      <c r="N190">
        <v>1361599200</v>
      </c>
      <c r="O190">
        <v>1364014800</v>
      </c>
      <c r="P190" s="11">
        <f>+(((Table1[[#This Row],[launched_at]]/60)/60)/24)+DATE(1970,1,1)</f>
        <v>41328.25</v>
      </c>
      <c r="Q190" s="11">
        <f>+(((Table1[[#This Row],[deadline]]/60)/60)/24)+DATE(1970,1,1)</f>
        <v>41356.208333333336</v>
      </c>
      <c r="R190" t="b">
        <v>0</v>
      </c>
      <c r="S190" t="b">
        <v>1</v>
      </c>
      <c r="T190" t="s">
        <v>100</v>
      </c>
      <c r="U190" t="str">
        <f>+LEFT(Table1[[#This Row],[category &amp; sub-category]],FIND("/",Table1[[#This Row],[category &amp; sub-category]])-1)</f>
        <v>film &amp; video</v>
      </c>
      <c r="V190" t="str">
        <f>+RIGHT(Table1[[#This Row],[category &amp; sub-category]],LEN(Table1[[#This Row],[category &amp; sub-category]])-SEARCH("/",Table1[[#This Row],[category &amp; sub-category]]))</f>
        <v>shorts</v>
      </c>
    </row>
    <row r="191" spans="2:22" ht="15.75" customHeight="1" x14ac:dyDescent="0.25">
      <c r="B191">
        <v>188</v>
      </c>
      <c r="C191" t="s">
        <v>428</v>
      </c>
      <c r="D191" s="3" t="s">
        <v>429</v>
      </c>
      <c r="E191" s="6">
        <v>8200</v>
      </c>
      <c r="F191" s="6">
        <v>2625</v>
      </c>
      <c r="G191" s="17">
        <f>ROUND(Table1[[#This Row],[pledged]]/Table1[[#This Row],[goal]]*100,2)</f>
        <v>32.01</v>
      </c>
      <c r="H191" s="5">
        <f>+Table1[[#This Row],[pledged]]/Table1[[#This Row],[goal]]</f>
        <v>0.3201219512195122</v>
      </c>
      <c r="I191" t="s">
        <v>14</v>
      </c>
      <c r="J191">
        <v>35</v>
      </c>
      <c r="K191" s="8">
        <f>IFERROR(Table1[[#This Row],[pledged]]/Table1[[#This Row],[backers_count]],"NA")</f>
        <v>75</v>
      </c>
      <c r="L191" t="s">
        <v>107</v>
      </c>
      <c r="M191" t="s">
        <v>108</v>
      </c>
      <c r="N191">
        <v>1417500000</v>
      </c>
      <c r="O191">
        <v>1417586400</v>
      </c>
      <c r="P191" s="11">
        <f>+(((Table1[[#This Row],[launched_at]]/60)/60)/24)+DATE(1970,1,1)</f>
        <v>41975.25</v>
      </c>
      <c r="Q191" s="11">
        <f>+(((Table1[[#This Row],[deadline]]/60)/60)/24)+DATE(1970,1,1)</f>
        <v>41976.25</v>
      </c>
      <c r="R191" t="b">
        <v>0</v>
      </c>
      <c r="S191" t="b">
        <v>0</v>
      </c>
      <c r="T191" t="s">
        <v>33</v>
      </c>
      <c r="U191" t="str">
        <f>+LEFT(Table1[[#This Row],[category &amp; sub-category]],FIND("/",Table1[[#This Row],[category &amp; sub-category]])-1)</f>
        <v>theater</v>
      </c>
      <c r="V191" t="str">
        <f>+RIGHT(Table1[[#This Row],[category &amp; sub-category]],LEN(Table1[[#This Row],[category &amp; sub-category]])-SEARCH("/",Table1[[#This Row],[category &amp; sub-category]]))</f>
        <v>plays</v>
      </c>
    </row>
    <row r="192" spans="2:22" ht="15.75" customHeight="1" x14ac:dyDescent="0.25">
      <c r="B192">
        <v>189</v>
      </c>
      <c r="C192" t="s">
        <v>430</v>
      </c>
      <c r="D192" s="3" t="s">
        <v>431</v>
      </c>
      <c r="E192" s="6">
        <v>191300</v>
      </c>
      <c r="F192" s="6">
        <v>45004</v>
      </c>
      <c r="G192" s="17">
        <f>ROUND(Table1[[#This Row],[pledged]]/Table1[[#This Row],[goal]]*100,2)</f>
        <v>23.53</v>
      </c>
      <c r="H192" s="5">
        <f>+Table1[[#This Row],[pledged]]/Table1[[#This Row],[goal]]</f>
        <v>0.23525352848928385</v>
      </c>
      <c r="I192" t="s">
        <v>74</v>
      </c>
      <c r="J192">
        <v>441</v>
      </c>
      <c r="K192" s="8">
        <f>IFERROR(Table1[[#This Row],[pledged]]/Table1[[#This Row],[backers_count]],"NA")</f>
        <v>102.0498866213152</v>
      </c>
      <c r="L192" t="s">
        <v>21</v>
      </c>
      <c r="M192" t="s">
        <v>22</v>
      </c>
      <c r="N192">
        <v>1457071200</v>
      </c>
      <c r="O192">
        <v>1457071200</v>
      </c>
      <c r="P192" s="11">
        <f>+(((Table1[[#This Row],[launched_at]]/60)/60)/24)+DATE(1970,1,1)</f>
        <v>42433.25</v>
      </c>
      <c r="Q192" s="11">
        <f>+(((Table1[[#This Row],[deadline]]/60)/60)/24)+DATE(1970,1,1)</f>
        <v>42433.25</v>
      </c>
      <c r="R192" t="b">
        <v>0</v>
      </c>
      <c r="S192" t="b">
        <v>0</v>
      </c>
      <c r="T192" t="s">
        <v>33</v>
      </c>
      <c r="U192" t="str">
        <f>+LEFT(Table1[[#This Row],[category &amp; sub-category]],FIND("/",Table1[[#This Row],[category &amp; sub-category]])-1)</f>
        <v>theater</v>
      </c>
      <c r="V192" t="str">
        <f>+RIGHT(Table1[[#This Row],[category &amp; sub-category]],LEN(Table1[[#This Row],[category &amp; sub-category]])-SEARCH("/",Table1[[#This Row],[category &amp; sub-category]]))</f>
        <v>plays</v>
      </c>
    </row>
    <row r="193" spans="2:22" ht="15.75" customHeight="1" x14ac:dyDescent="0.25">
      <c r="B193">
        <v>190</v>
      </c>
      <c r="C193" t="s">
        <v>432</v>
      </c>
      <c r="D193" s="3" t="s">
        <v>433</v>
      </c>
      <c r="E193" s="6">
        <v>3700</v>
      </c>
      <c r="F193" s="6">
        <v>2538</v>
      </c>
      <c r="G193" s="17">
        <f>ROUND(Table1[[#This Row],[pledged]]/Table1[[#This Row],[goal]]*100,2)</f>
        <v>68.59</v>
      </c>
      <c r="H193" s="5">
        <f>+Table1[[#This Row],[pledged]]/Table1[[#This Row],[goal]]</f>
        <v>0.68594594594594593</v>
      </c>
      <c r="I193" t="s">
        <v>14</v>
      </c>
      <c r="J193">
        <v>24</v>
      </c>
      <c r="K193" s="8">
        <f>IFERROR(Table1[[#This Row],[pledged]]/Table1[[#This Row],[backers_count]],"NA")</f>
        <v>105.75</v>
      </c>
      <c r="L193" t="s">
        <v>21</v>
      </c>
      <c r="M193" t="s">
        <v>22</v>
      </c>
      <c r="N193">
        <v>1370322000</v>
      </c>
      <c r="O193">
        <v>1370408400</v>
      </c>
      <c r="P193" s="11">
        <f>+(((Table1[[#This Row],[launched_at]]/60)/60)/24)+DATE(1970,1,1)</f>
        <v>41429.208333333336</v>
      </c>
      <c r="Q193" s="11">
        <f>+(((Table1[[#This Row],[deadline]]/60)/60)/24)+DATE(1970,1,1)</f>
        <v>41430.208333333336</v>
      </c>
      <c r="R193" t="b">
        <v>0</v>
      </c>
      <c r="S193" t="b">
        <v>1</v>
      </c>
      <c r="T193" t="s">
        <v>33</v>
      </c>
      <c r="U193" t="str">
        <f>+LEFT(Table1[[#This Row],[category &amp; sub-category]],FIND("/",Table1[[#This Row],[category &amp; sub-category]])-1)</f>
        <v>theater</v>
      </c>
      <c r="V193" t="str">
        <f>+RIGHT(Table1[[#This Row],[category &amp; sub-category]],LEN(Table1[[#This Row],[category &amp; sub-category]])-SEARCH("/",Table1[[#This Row],[category &amp; sub-category]]))</f>
        <v>plays</v>
      </c>
    </row>
    <row r="194" spans="2:22" ht="15.75" customHeight="1" x14ac:dyDescent="0.25">
      <c r="B194">
        <v>191</v>
      </c>
      <c r="C194" t="s">
        <v>434</v>
      </c>
      <c r="D194" s="3" t="s">
        <v>435</v>
      </c>
      <c r="E194" s="6">
        <v>8400</v>
      </c>
      <c r="F194" s="6">
        <v>3188</v>
      </c>
      <c r="G194" s="17">
        <f>ROUND(Table1[[#This Row],[pledged]]/Table1[[#This Row],[goal]]*100,2)</f>
        <v>37.950000000000003</v>
      </c>
      <c r="H194" s="5">
        <f>+Table1[[#This Row],[pledged]]/Table1[[#This Row],[goal]]</f>
        <v>0.37952380952380954</v>
      </c>
      <c r="I194" t="s">
        <v>14</v>
      </c>
      <c r="J194">
        <v>86</v>
      </c>
      <c r="K194" s="8">
        <f>IFERROR(Table1[[#This Row],[pledged]]/Table1[[#This Row],[backers_count]],"NA")</f>
        <v>37.069767441860463</v>
      </c>
      <c r="L194" t="s">
        <v>107</v>
      </c>
      <c r="M194" t="s">
        <v>108</v>
      </c>
      <c r="N194">
        <v>1552366800</v>
      </c>
      <c r="O194">
        <v>1552626000</v>
      </c>
      <c r="P194" s="11">
        <f>+(((Table1[[#This Row],[launched_at]]/60)/60)/24)+DATE(1970,1,1)</f>
        <v>43536.208333333328</v>
      </c>
      <c r="Q194" s="11">
        <f>+(((Table1[[#This Row],[deadline]]/60)/60)/24)+DATE(1970,1,1)</f>
        <v>43539.208333333328</v>
      </c>
      <c r="R194" t="b">
        <v>0</v>
      </c>
      <c r="S194" t="b">
        <v>0</v>
      </c>
      <c r="T194" t="s">
        <v>33</v>
      </c>
      <c r="U194" t="str">
        <f>+LEFT(Table1[[#This Row],[category &amp; sub-category]],FIND("/",Table1[[#This Row],[category &amp; sub-category]])-1)</f>
        <v>theater</v>
      </c>
      <c r="V194" t="str">
        <f>+RIGHT(Table1[[#This Row],[category &amp; sub-category]],LEN(Table1[[#This Row],[category &amp; sub-category]])-SEARCH("/",Table1[[#This Row],[category &amp; sub-category]]))</f>
        <v>plays</v>
      </c>
    </row>
    <row r="195" spans="2:22" ht="15.75" customHeight="1" x14ac:dyDescent="0.25">
      <c r="B195">
        <v>192</v>
      </c>
      <c r="C195" t="s">
        <v>436</v>
      </c>
      <c r="D195" s="3" t="s">
        <v>437</v>
      </c>
      <c r="E195" s="6">
        <v>42600</v>
      </c>
      <c r="F195" s="6">
        <v>8517</v>
      </c>
      <c r="G195" s="17">
        <f>ROUND(Table1[[#This Row],[pledged]]/Table1[[#This Row],[goal]]*100,2)</f>
        <v>19.989999999999998</v>
      </c>
      <c r="H195" s="5">
        <f>+Table1[[#This Row],[pledged]]/Table1[[#This Row],[goal]]</f>
        <v>0.19992957746478873</v>
      </c>
      <c r="I195" t="s">
        <v>14</v>
      </c>
      <c r="J195">
        <v>243</v>
      </c>
      <c r="K195" s="8">
        <f>IFERROR(Table1[[#This Row],[pledged]]/Table1[[#This Row],[backers_count]],"NA")</f>
        <v>35.049382716049379</v>
      </c>
      <c r="L195" t="s">
        <v>21</v>
      </c>
      <c r="M195" t="s">
        <v>22</v>
      </c>
      <c r="N195">
        <v>1403845200</v>
      </c>
      <c r="O195">
        <v>1404190800</v>
      </c>
      <c r="P195" s="11">
        <f>+(((Table1[[#This Row],[launched_at]]/60)/60)/24)+DATE(1970,1,1)</f>
        <v>41817.208333333336</v>
      </c>
      <c r="Q195" s="11">
        <f>+(((Table1[[#This Row],[deadline]]/60)/60)/24)+DATE(1970,1,1)</f>
        <v>41821.208333333336</v>
      </c>
      <c r="R195" t="b">
        <v>0</v>
      </c>
      <c r="S195" t="b">
        <v>0</v>
      </c>
      <c r="T195" t="s">
        <v>23</v>
      </c>
      <c r="U195" t="str">
        <f>+LEFT(Table1[[#This Row],[category &amp; sub-category]],FIND("/",Table1[[#This Row],[category &amp; sub-category]])-1)</f>
        <v>music</v>
      </c>
      <c r="V195" t="str">
        <f>+RIGHT(Table1[[#This Row],[category &amp; sub-category]],LEN(Table1[[#This Row],[category &amp; sub-category]])-SEARCH("/",Table1[[#This Row],[category &amp; sub-category]]))</f>
        <v>rock</v>
      </c>
    </row>
    <row r="196" spans="2:22" ht="15.75" customHeight="1" x14ac:dyDescent="0.25">
      <c r="B196">
        <v>193</v>
      </c>
      <c r="C196" t="s">
        <v>438</v>
      </c>
      <c r="D196" s="3" t="s">
        <v>439</v>
      </c>
      <c r="E196" s="6">
        <v>6600</v>
      </c>
      <c r="F196" s="6">
        <v>3012</v>
      </c>
      <c r="G196" s="17">
        <f>ROUND(Table1[[#This Row],[pledged]]/Table1[[#This Row],[goal]]*100,2)</f>
        <v>45.64</v>
      </c>
      <c r="H196" s="5">
        <f>+Table1[[#This Row],[pledged]]/Table1[[#This Row],[goal]]</f>
        <v>0.45636363636363636</v>
      </c>
      <c r="I196" t="s">
        <v>14</v>
      </c>
      <c r="J196">
        <v>65</v>
      </c>
      <c r="K196" s="8">
        <f>IFERROR(Table1[[#This Row],[pledged]]/Table1[[#This Row],[backers_count]],"NA")</f>
        <v>46.338461538461537</v>
      </c>
      <c r="L196" t="s">
        <v>21</v>
      </c>
      <c r="M196" t="s">
        <v>22</v>
      </c>
      <c r="N196">
        <v>1523163600</v>
      </c>
      <c r="O196">
        <v>1523509200</v>
      </c>
      <c r="P196" s="11">
        <f>+(((Table1[[#This Row],[launched_at]]/60)/60)/24)+DATE(1970,1,1)</f>
        <v>43198.208333333328</v>
      </c>
      <c r="Q196" s="11">
        <f>+(((Table1[[#This Row],[deadline]]/60)/60)/24)+DATE(1970,1,1)</f>
        <v>43202.208333333328</v>
      </c>
      <c r="R196" t="b">
        <v>1</v>
      </c>
      <c r="S196" t="b">
        <v>0</v>
      </c>
      <c r="T196" t="s">
        <v>60</v>
      </c>
      <c r="U196" t="str">
        <f>+LEFT(Table1[[#This Row],[category &amp; sub-category]],FIND("/",Table1[[#This Row],[category &amp; sub-category]])-1)</f>
        <v>music</v>
      </c>
      <c r="V196" t="str">
        <f>+RIGHT(Table1[[#This Row],[category &amp; sub-category]],LEN(Table1[[#This Row],[category &amp; sub-category]])-SEARCH("/",Table1[[#This Row],[category &amp; sub-category]]))</f>
        <v>indie rock</v>
      </c>
    </row>
    <row r="197" spans="2:22" ht="15.75" customHeight="1" x14ac:dyDescent="0.25">
      <c r="B197">
        <v>194</v>
      </c>
      <c r="C197" t="s">
        <v>440</v>
      </c>
      <c r="D197" s="3" t="s">
        <v>441</v>
      </c>
      <c r="E197" s="6">
        <v>7100</v>
      </c>
      <c r="F197" s="6">
        <v>8716</v>
      </c>
      <c r="G197" s="17">
        <f>ROUND(Table1[[#This Row],[pledged]]/Table1[[#This Row],[goal]]*100,2)</f>
        <v>122.76</v>
      </c>
      <c r="H197" s="5">
        <f>+Table1[[#This Row],[pledged]]/Table1[[#This Row],[goal]]</f>
        <v>1.227605633802817</v>
      </c>
      <c r="I197" t="s">
        <v>20</v>
      </c>
      <c r="J197">
        <v>126</v>
      </c>
      <c r="K197" s="8">
        <f>IFERROR(Table1[[#This Row],[pledged]]/Table1[[#This Row],[backers_count]],"NA")</f>
        <v>69.174603174603178</v>
      </c>
      <c r="L197" t="s">
        <v>21</v>
      </c>
      <c r="M197" t="s">
        <v>22</v>
      </c>
      <c r="N197">
        <v>1442206800</v>
      </c>
      <c r="O197">
        <v>1443589200</v>
      </c>
      <c r="P197" s="11">
        <f>+(((Table1[[#This Row],[launched_at]]/60)/60)/24)+DATE(1970,1,1)</f>
        <v>42261.208333333328</v>
      </c>
      <c r="Q197" s="11">
        <f>+(((Table1[[#This Row],[deadline]]/60)/60)/24)+DATE(1970,1,1)</f>
        <v>42277.208333333328</v>
      </c>
      <c r="R197" t="b">
        <v>0</v>
      </c>
      <c r="S197" t="b">
        <v>0</v>
      </c>
      <c r="T197" t="s">
        <v>148</v>
      </c>
      <c r="U197" t="str">
        <f>+LEFT(Table1[[#This Row],[category &amp; sub-category]],FIND("/",Table1[[#This Row],[category &amp; sub-category]])-1)</f>
        <v>music</v>
      </c>
      <c r="V197" t="str">
        <f>+RIGHT(Table1[[#This Row],[category &amp; sub-category]],LEN(Table1[[#This Row],[category &amp; sub-category]])-SEARCH("/",Table1[[#This Row],[category &amp; sub-category]]))</f>
        <v>metal</v>
      </c>
    </row>
    <row r="198" spans="2:22" ht="15.75" customHeight="1" x14ac:dyDescent="0.25">
      <c r="B198">
        <v>195</v>
      </c>
      <c r="C198" t="s">
        <v>442</v>
      </c>
      <c r="D198" s="3" t="s">
        <v>443</v>
      </c>
      <c r="E198" s="6">
        <v>15800</v>
      </c>
      <c r="F198" s="6">
        <v>57157</v>
      </c>
      <c r="G198" s="17">
        <f>ROUND(Table1[[#This Row],[pledged]]/Table1[[#This Row],[goal]]*100,2)</f>
        <v>361.75</v>
      </c>
      <c r="H198" s="5">
        <f>+Table1[[#This Row],[pledged]]/Table1[[#This Row],[goal]]</f>
        <v>3.61753164556962</v>
      </c>
      <c r="I198" t="s">
        <v>20</v>
      </c>
      <c r="J198">
        <v>524</v>
      </c>
      <c r="K198" s="8">
        <f>IFERROR(Table1[[#This Row],[pledged]]/Table1[[#This Row],[backers_count]],"NA")</f>
        <v>109.07824427480917</v>
      </c>
      <c r="L198" t="s">
        <v>21</v>
      </c>
      <c r="M198" t="s">
        <v>22</v>
      </c>
      <c r="N198">
        <v>1532840400</v>
      </c>
      <c r="O198">
        <v>1533445200</v>
      </c>
      <c r="P198" s="11">
        <f>+(((Table1[[#This Row],[launched_at]]/60)/60)/24)+DATE(1970,1,1)</f>
        <v>43310.208333333328</v>
      </c>
      <c r="Q198" s="11">
        <f>+(((Table1[[#This Row],[deadline]]/60)/60)/24)+DATE(1970,1,1)</f>
        <v>43317.208333333328</v>
      </c>
      <c r="R198" t="b">
        <v>0</v>
      </c>
      <c r="S198" t="b">
        <v>0</v>
      </c>
      <c r="T198" t="s">
        <v>50</v>
      </c>
      <c r="U198" t="str">
        <f>+LEFT(Table1[[#This Row],[category &amp; sub-category]],FIND("/",Table1[[#This Row],[category &amp; sub-category]])-1)</f>
        <v>music</v>
      </c>
      <c r="V198" t="str">
        <f>+RIGHT(Table1[[#This Row],[category &amp; sub-category]],LEN(Table1[[#This Row],[category &amp; sub-category]])-SEARCH("/",Table1[[#This Row],[category &amp; sub-category]]))</f>
        <v>electric music</v>
      </c>
    </row>
    <row r="199" spans="2:22" ht="15.75" customHeight="1" x14ac:dyDescent="0.25">
      <c r="B199">
        <v>196</v>
      </c>
      <c r="C199" t="s">
        <v>444</v>
      </c>
      <c r="D199" s="3" t="s">
        <v>445</v>
      </c>
      <c r="E199" s="6">
        <v>8200</v>
      </c>
      <c r="F199" s="6">
        <v>5178</v>
      </c>
      <c r="G199" s="17">
        <f>ROUND(Table1[[#This Row],[pledged]]/Table1[[#This Row],[goal]]*100,2)</f>
        <v>63.15</v>
      </c>
      <c r="H199" s="5">
        <f>+Table1[[#This Row],[pledged]]/Table1[[#This Row],[goal]]</f>
        <v>0.63146341463414635</v>
      </c>
      <c r="I199" t="s">
        <v>14</v>
      </c>
      <c r="J199">
        <v>100</v>
      </c>
      <c r="K199" s="8">
        <f>IFERROR(Table1[[#This Row],[pledged]]/Table1[[#This Row],[backers_count]],"NA")</f>
        <v>51.78</v>
      </c>
      <c r="L199" t="s">
        <v>36</v>
      </c>
      <c r="M199" t="s">
        <v>37</v>
      </c>
      <c r="N199">
        <v>1472878800</v>
      </c>
      <c r="O199">
        <v>1474520400</v>
      </c>
      <c r="P199" s="11">
        <f>+(((Table1[[#This Row],[launched_at]]/60)/60)/24)+DATE(1970,1,1)</f>
        <v>42616.208333333328</v>
      </c>
      <c r="Q199" s="11">
        <f>+(((Table1[[#This Row],[deadline]]/60)/60)/24)+DATE(1970,1,1)</f>
        <v>42635.208333333328</v>
      </c>
      <c r="R199" t="b">
        <v>0</v>
      </c>
      <c r="S199" t="b">
        <v>0</v>
      </c>
      <c r="T199" t="s">
        <v>65</v>
      </c>
      <c r="U199" t="str">
        <f>+LEFT(Table1[[#This Row],[category &amp; sub-category]],FIND("/",Table1[[#This Row],[category &amp; sub-category]])-1)</f>
        <v>technology</v>
      </c>
      <c r="V199" t="str">
        <f>+RIGHT(Table1[[#This Row],[category &amp; sub-category]],LEN(Table1[[#This Row],[category &amp; sub-category]])-SEARCH("/",Table1[[#This Row],[category &amp; sub-category]]))</f>
        <v>wearables</v>
      </c>
    </row>
    <row r="200" spans="2:22" ht="15.75" customHeight="1" x14ac:dyDescent="0.25">
      <c r="B200">
        <v>197</v>
      </c>
      <c r="C200" t="s">
        <v>446</v>
      </c>
      <c r="D200" s="3" t="s">
        <v>447</v>
      </c>
      <c r="E200" s="6">
        <v>54700</v>
      </c>
      <c r="F200" s="6">
        <v>163118</v>
      </c>
      <c r="G200" s="17">
        <f>ROUND(Table1[[#This Row],[pledged]]/Table1[[#This Row],[goal]]*100,2)</f>
        <v>298.2</v>
      </c>
      <c r="H200" s="5">
        <f>+Table1[[#This Row],[pledged]]/Table1[[#This Row],[goal]]</f>
        <v>2.9820475319926874</v>
      </c>
      <c r="I200" t="s">
        <v>20</v>
      </c>
      <c r="J200">
        <v>1989</v>
      </c>
      <c r="K200" s="8">
        <f>IFERROR(Table1[[#This Row],[pledged]]/Table1[[#This Row],[backers_count]],"NA")</f>
        <v>82.010055304172951</v>
      </c>
      <c r="L200" t="s">
        <v>21</v>
      </c>
      <c r="M200" t="s">
        <v>22</v>
      </c>
      <c r="N200">
        <v>1498194000</v>
      </c>
      <c r="O200">
        <v>1499403600</v>
      </c>
      <c r="P200" s="11">
        <f>+(((Table1[[#This Row],[launched_at]]/60)/60)/24)+DATE(1970,1,1)</f>
        <v>42909.208333333328</v>
      </c>
      <c r="Q200" s="11">
        <f>+(((Table1[[#This Row],[deadline]]/60)/60)/24)+DATE(1970,1,1)</f>
        <v>42923.208333333328</v>
      </c>
      <c r="R200" t="b">
        <v>0</v>
      </c>
      <c r="S200" t="b">
        <v>0</v>
      </c>
      <c r="T200" t="s">
        <v>53</v>
      </c>
      <c r="U200" t="str">
        <f>+LEFT(Table1[[#This Row],[category &amp; sub-category]],FIND("/",Table1[[#This Row],[category &amp; sub-category]])-1)</f>
        <v>film &amp; video</v>
      </c>
      <c r="V200" t="str">
        <f>+RIGHT(Table1[[#This Row],[category &amp; sub-category]],LEN(Table1[[#This Row],[category &amp; sub-category]])-SEARCH("/",Table1[[#This Row],[category &amp; sub-category]]))</f>
        <v>drama</v>
      </c>
    </row>
    <row r="201" spans="2:22" ht="15.75" customHeight="1" x14ac:dyDescent="0.25">
      <c r="B201">
        <v>198</v>
      </c>
      <c r="C201" t="s">
        <v>448</v>
      </c>
      <c r="D201" s="3" t="s">
        <v>449</v>
      </c>
      <c r="E201" s="6">
        <v>63200</v>
      </c>
      <c r="F201" s="6">
        <v>6041</v>
      </c>
      <c r="G201" s="17">
        <f>ROUND(Table1[[#This Row],[pledged]]/Table1[[#This Row],[goal]]*100,2)</f>
        <v>9.56</v>
      </c>
      <c r="H201" s="5">
        <f>+Table1[[#This Row],[pledged]]/Table1[[#This Row],[goal]]</f>
        <v>9.5585443037974685E-2</v>
      </c>
      <c r="I201" t="s">
        <v>14</v>
      </c>
      <c r="J201">
        <v>168</v>
      </c>
      <c r="K201" s="8">
        <f>IFERROR(Table1[[#This Row],[pledged]]/Table1[[#This Row],[backers_count]],"NA")</f>
        <v>35.958333333333336</v>
      </c>
      <c r="L201" t="s">
        <v>21</v>
      </c>
      <c r="M201" t="s">
        <v>22</v>
      </c>
      <c r="N201">
        <v>1281070800</v>
      </c>
      <c r="O201">
        <v>1283576400</v>
      </c>
      <c r="P201" s="11">
        <f>+(((Table1[[#This Row],[launched_at]]/60)/60)/24)+DATE(1970,1,1)</f>
        <v>40396.208333333336</v>
      </c>
      <c r="Q201" s="11">
        <f>+(((Table1[[#This Row],[deadline]]/60)/60)/24)+DATE(1970,1,1)</f>
        <v>40425.208333333336</v>
      </c>
      <c r="R201" t="b">
        <v>0</v>
      </c>
      <c r="S201" t="b">
        <v>0</v>
      </c>
      <c r="T201" t="s">
        <v>50</v>
      </c>
      <c r="U201" t="str">
        <f>+LEFT(Table1[[#This Row],[category &amp; sub-category]],FIND("/",Table1[[#This Row],[category &amp; sub-category]])-1)</f>
        <v>music</v>
      </c>
      <c r="V201" t="str">
        <f>+RIGHT(Table1[[#This Row],[category &amp; sub-category]],LEN(Table1[[#This Row],[category &amp; sub-category]])-SEARCH("/",Table1[[#This Row],[category &amp; sub-category]]))</f>
        <v>electric music</v>
      </c>
    </row>
    <row r="202" spans="2:22" ht="15.75" customHeight="1" x14ac:dyDescent="0.25">
      <c r="B202">
        <v>199</v>
      </c>
      <c r="C202" t="s">
        <v>450</v>
      </c>
      <c r="D202" s="3" t="s">
        <v>451</v>
      </c>
      <c r="E202" s="6">
        <v>1800</v>
      </c>
      <c r="F202" s="6">
        <v>968</v>
      </c>
      <c r="G202" s="17">
        <f>ROUND(Table1[[#This Row],[pledged]]/Table1[[#This Row],[goal]]*100,2)</f>
        <v>53.78</v>
      </c>
      <c r="H202" s="5">
        <f>+Table1[[#This Row],[pledged]]/Table1[[#This Row],[goal]]</f>
        <v>0.5377777777777778</v>
      </c>
      <c r="I202" t="s">
        <v>14</v>
      </c>
      <c r="J202">
        <v>13</v>
      </c>
      <c r="K202" s="8">
        <f>IFERROR(Table1[[#This Row],[pledged]]/Table1[[#This Row],[backers_count]],"NA")</f>
        <v>74.461538461538467</v>
      </c>
      <c r="L202" t="s">
        <v>21</v>
      </c>
      <c r="M202" t="s">
        <v>22</v>
      </c>
      <c r="N202">
        <v>1436245200</v>
      </c>
      <c r="O202">
        <v>1436590800</v>
      </c>
      <c r="P202" s="11">
        <f>+(((Table1[[#This Row],[launched_at]]/60)/60)/24)+DATE(1970,1,1)</f>
        <v>42192.208333333328</v>
      </c>
      <c r="Q202" s="11">
        <f>+(((Table1[[#This Row],[deadline]]/60)/60)/24)+DATE(1970,1,1)</f>
        <v>42196.208333333328</v>
      </c>
      <c r="R202" t="b">
        <v>0</v>
      </c>
      <c r="S202" t="b">
        <v>0</v>
      </c>
      <c r="T202" t="s">
        <v>23</v>
      </c>
      <c r="U202" t="str">
        <f>+LEFT(Table1[[#This Row],[category &amp; sub-category]],FIND("/",Table1[[#This Row],[category &amp; sub-category]])-1)</f>
        <v>music</v>
      </c>
      <c r="V202" t="str">
        <f>+RIGHT(Table1[[#This Row],[category &amp; sub-category]],LEN(Table1[[#This Row],[category &amp; sub-category]])-SEARCH("/",Table1[[#This Row],[category &amp; sub-category]]))</f>
        <v>rock</v>
      </c>
    </row>
    <row r="203" spans="2:22" ht="15.75" customHeight="1" x14ac:dyDescent="0.25">
      <c r="B203">
        <v>200</v>
      </c>
      <c r="C203" t="s">
        <v>452</v>
      </c>
      <c r="D203" s="3" t="s">
        <v>453</v>
      </c>
      <c r="E203" s="6">
        <v>100</v>
      </c>
      <c r="F203" s="6">
        <v>2</v>
      </c>
      <c r="G203" s="17">
        <f>ROUND(Table1[[#This Row],[pledged]]/Table1[[#This Row],[goal]]*100,2)</f>
        <v>2</v>
      </c>
      <c r="H203" s="5">
        <f>+Table1[[#This Row],[pledged]]/Table1[[#This Row],[goal]]</f>
        <v>0.02</v>
      </c>
      <c r="I203" t="s">
        <v>14</v>
      </c>
      <c r="J203">
        <v>1</v>
      </c>
      <c r="K203" s="8">
        <f>IFERROR(Table1[[#This Row],[pledged]]/Table1[[#This Row],[backers_count]],"NA")</f>
        <v>2</v>
      </c>
      <c r="L203" t="s">
        <v>15</v>
      </c>
      <c r="M203" t="s">
        <v>16</v>
      </c>
      <c r="N203">
        <v>1269493200</v>
      </c>
      <c r="O203">
        <v>1270443600</v>
      </c>
      <c r="P203" s="11">
        <f>+(((Table1[[#This Row],[launched_at]]/60)/60)/24)+DATE(1970,1,1)</f>
        <v>40262.208333333336</v>
      </c>
      <c r="Q203" s="11">
        <f>+(((Table1[[#This Row],[deadline]]/60)/60)/24)+DATE(1970,1,1)</f>
        <v>40273.208333333336</v>
      </c>
      <c r="R203" t="b">
        <v>0</v>
      </c>
      <c r="S203" t="b">
        <v>0</v>
      </c>
      <c r="T203" t="s">
        <v>33</v>
      </c>
      <c r="U203" t="str">
        <f>+LEFT(Table1[[#This Row],[category &amp; sub-category]],FIND("/",Table1[[#This Row],[category &amp; sub-category]])-1)</f>
        <v>theater</v>
      </c>
      <c r="V203" t="str">
        <f>+RIGHT(Table1[[#This Row],[category &amp; sub-category]],LEN(Table1[[#This Row],[category &amp; sub-category]])-SEARCH("/",Table1[[#This Row],[category &amp; sub-category]]))</f>
        <v>plays</v>
      </c>
    </row>
    <row r="204" spans="2:22" ht="15.75" customHeight="1" x14ac:dyDescent="0.25">
      <c r="B204">
        <v>201</v>
      </c>
      <c r="C204" t="s">
        <v>454</v>
      </c>
      <c r="D204" s="3" t="s">
        <v>455</v>
      </c>
      <c r="E204" s="6">
        <v>2100</v>
      </c>
      <c r="F204" s="6">
        <v>14305</v>
      </c>
      <c r="G204" s="17">
        <f>ROUND(Table1[[#This Row],[pledged]]/Table1[[#This Row],[goal]]*100,2)</f>
        <v>681.19</v>
      </c>
      <c r="H204" s="5">
        <f>+Table1[[#This Row],[pledged]]/Table1[[#This Row],[goal]]</f>
        <v>6.8119047619047617</v>
      </c>
      <c r="I204" t="s">
        <v>20</v>
      </c>
      <c r="J204">
        <v>157</v>
      </c>
      <c r="K204" s="8">
        <f>IFERROR(Table1[[#This Row],[pledged]]/Table1[[#This Row],[backers_count]],"NA")</f>
        <v>91.114649681528661</v>
      </c>
      <c r="L204" t="s">
        <v>21</v>
      </c>
      <c r="M204" t="s">
        <v>22</v>
      </c>
      <c r="N204">
        <v>1406264400</v>
      </c>
      <c r="O204">
        <v>1407819600</v>
      </c>
      <c r="P204" s="11">
        <f>+(((Table1[[#This Row],[launched_at]]/60)/60)/24)+DATE(1970,1,1)</f>
        <v>41845.208333333336</v>
      </c>
      <c r="Q204" s="11">
        <f>+(((Table1[[#This Row],[deadline]]/60)/60)/24)+DATE(1970,1,1)</f>
        <v>41863.208333333336</v>
      </c>
      <c r="R204" t="b">
        <v>0</v>
      </c>
      <c r="S204" t="b">
        <v>0</v>
      </c>
      <c r="T204" t="s">
        <v>28</v>
      </c>
      <c r="U204" t="str">
        <f>+LEFT(Table1[[#This Row],[category &amp; sub-category]],FIND("/",Table1[[#This Row],[category &amp; sub-category]])-1)</f>
        <v>technology</v>
      </c>
      <c r="V204" t="str">
        <f>+RIGHT(Table1[[#This Row],[category &amp; sub-category]],LEN(Table1[[#This Row],[category &amp; sub-category]])-SEARCH("/",Table1[[#This Row],[category &amp; sub-category]]))</f>
        <v>web</v>
      </c>
    </row>
    <row r="205" spans="2:22" ht="15.75" customHeight="1" x14ac:dyDescent="0.25">
      <c r="B205">
        <v>202</v>
      </c>
      <c r="C205" t="s">
        <v>456</v>
      </c>
      <c r="D205" s="3" t="s">
        <v>457</v>
      </c>
      <c r="E205" s="6">
        <v>8300</v>
      </c>
      <c r="F205" s="6">
        <v>6543</v>
      </c>
      <c r="G205" s="17">
        <f>ROUND(Table1[[#This Row],[pledged]]/Table1[[#This Row],[goal]]*100,2)</f>
        <v>78.83</v>
      </c>
      <c r="H205" s="5">
        <f>+Table1[[#This Row],[pledged]]/Table1[[#This Row],[goal]]</f>
        <v>0.78831325301204824</v>
      </c>
      <c r="I205" t="s">
        <v>74</v>
      </c>
      <c r="J205">
        <v>82</v>
      </c>
      <c r="K205" s="8">
        <f>IFERROR(Table1[[#This Row],[pledged]]/Table1[[#This Row],[backers_count]],"NA")</f>
        <v>79.792682926829272</v>
      </c>
      <c r="L205" t="s">
        <v>21</v>
      </c>
      <c r="M205" t="s">
        <v>22</v>
      </c>
      <c r="N205">
        <v>1317531600</v>
      </c>
      <c r="O205">
        <v>1317877200</v>
      </c>
      <c r="P205" s="11">
        <f>+(((Table1[[#This Row],[launched_at]]/60)/60)/24)+DATE(1970,1,1)</f>
        <v>40818.208333333336</v>
      </c>
      <c r="Q205" s="11">
        <f>+(((Table1[[#This Row],[deadline]]/60)/60)/24)+DATE(1970,1,1)</f>
        <v>40822.208333333336</v>
      </c>
      <c r="R205" t="b">
        <v>0</v>
      </c>
      <c r="S205" t="b">
        <v>0</v>
      </c>
      <c r="T205" t="s">
        <v>17</v>
      </c>
      <c r="U205" t="str">
        <f>+LEFT(Table1[[#This Row],[category &amp; sub-category]],FIND("/",Table1[[#This Row],[category &amp; sub-category]])-1)</f>
        <v>food</v>
      </c>
      <c r="V205" t="str">
        <f>+RIGHT(Table1[[#This Row],[category &amp; sub-category]],LEN(Table1[[#This Row],[category &amp; sub-category]])-SEARCH("/",Table1[[#This Row],[category &amp; sub-category]]))</f>
        <v>food trucks</v>
      </c>
    </row>
    <row r="206" spans="2:22" ht="15.75" customHeight="1" x14ac:dyDescent="0.25">
      <c r="B206">
        <v>203</v>
      </c>
      <c r="C206" t="s">
        <v>458</v>
      </c>
      <c r="D206" s="3" t="s">
        <v>459</v>
      </c>
      <c r="E206" s="6">
        <v>143900</v>
      </c>
      <c r="F206" s="6">
        <v>193413</v>
      </c>
      <c r="G206" s="17">
        <f>ROUND(Table1[[#This Row],[pledged]]/Table1[[#This Row],[goal]]*100,2)</f>
        <v>134.41</v>
      </c>
      <c r="H206" s="5">
        <f>+Table1[[#This Row],[pledged]]/Table1[[#This Row],[goal]]</f>
        <v>1.3440792216817234</v>
      </c>
      <c r="I206" t="s">
        <v>20</v>
      </c>
      <c r="J206">
        <v>4498</v>
      </c>
      <c r="K206" s="8">
        <f>IFERROR(Table1[[#This Row],[pledged]]/Table1[[#This Row],[backers_count]],"NA")</f>
        <v>42.999777678968428</v>
      </c>
      <c r="L206" t="s">
        <v>26</v>
      </c>
      <c r="M206" t="s">
        <v>27</v>
      </c>
      <c r="N206">
        <v>1484632800</v>
      </c>
      <c r="O206">
        <v>1484805600</v>
      </c>
      <c r="P206" s="11">
        <f>+(((Table1[[#This Row],[launched_at]]/60)/60)/24)+DATE(1970,1,1)</f>
        <v>42752.25</v>
      </c>
      <c r="Q206" s="11">
        <f>+(((Table1[[#This Row],[deadline]]/60)/60)/24)+DATE(1970,1,1)</f>
        <v>42754.25</v>
      </c>
      <c r="R206" t="b">
        <v>0</v>
      </c>
      <c r="S206" t="b">
        <v>0</v>
      </c>
      <c r="T206" t="s">
        <v>33</v>
      </c>
      <c r="U206" t="str">
        <f>+LEFT(Table1[[#This Row],[category &amp; sub-category]],FIND("/",Table1[[#This Row],[category &amp; sub-category]])-1)</f>
        <v>theater</v>
      </c>
      <c r="V206" t="str">
        <f>+RIGHT(Table1[[#This Row],[category &amp; sub-category]],LEN(Table1[[#This Row],[category &amp; sub-category]])-SEARCH("/",Table1[[#This Row],[category &amp; sub-category]]))</f>
        <v>plays</v>
      </c>
    </row>
    <row r="207" spans="2:22" ht="15.75" customHeight="1" x14ac:dyDescent="0.25">
      <c r="B207">
        <v>204</v>
      </c>
      <c r="C207" t="s">
        <v>460</v>
      </c>
      <c r="D207" s="3" t="s">
        <v>461</v>
      </c>
      <c r="E207" s="6">
        <v>75000</v>
      </c>
      <c r="F207" s="6">
        <v>2529</v>
      </c>
      <c r="G207" s="17">
        <f>ROUND(Table1[[#This Row],[pledged]]/Table1[[#This Row],[goal]]*100,2)</f>
        <v>3.37</v>
      </c>
      <c r="H207" s="5">
        <f>+Table1[[#This Row],[pledged]]/Table1[[#This Row],[goal]]</f>
        <v>3.372E-2</v>
      </c>
      <c r="I207" t="s">
        <v>14</v>
      </c>
      <c r="J207">
        <v>40</v>
      </c>
      <c r="K207" s="8">
        <f>IFERROR(Table1[[#This Row],[pledged]]/Table1[[#This Row],[backers_count]],"NA")</f>
        <v>63.225000000000001</v>
      </c>
      <c r="L207" t="s">
        <v>21</v>
      </c>
      <c r="M207" t="s">
        <v>22</v>
      </c>
      <c r="N207">
        <v>1301806800</v>
      </c>
      <c r="O207">
        <v>1302670800</v>
      </c>
      <c r="P207" s="11">
        <f>+(((Table1[[#This Row],[launched_at]]/60)/60)/24)+DATE(1970,1,1)</f>
        <v>40636.208333333336</v>
      </c>
      <c r="Q207" s="11">
        <f>+(((Table1[[#This Row],[deadline]]/60)/60)/24)+DATE(1970,1,1)</f>
        <v>40646.208333333336</v>
      </c>
      <c r="R207" t="b">
        <v>0</v>
      </c>
      <c r="S207" t="b">
        <v>0</v>
      </c>
      <c r="T207" t="s">
        <v>159</v>
      </c>
      <c r="U207" t="str">
        <f>+LEFT(Table1[[#This Row],[category &amp; sub-category]],FIND("/",Table1[[#This Row],[category &amp; sub-category]])-1)</f>
        <v>music</v>
      </c>
      <c r="V207" t="str">
        <f>+RIGHT(Table1[[#This Row],[category &amp; sub-category]],LEN(Table1[[#This Row],[category &amp; sub-category]])-SEARCH("/",Table1[[#This Row],[category &amp; sub-category]]))</f>
        <v>jazz</v>
      </c>
    </row>
    <row r="208" spans="2:22" ht="15.75" customHeight="1" x14ac:dyDescent="0.25">
      <c r="B208">
        <v>205</v>
      </c>
      <c r="C208" t="s">
        <v>462</v>
      </c>
      <c r="D208" s="3" t="s">
        <v>463</v>
      </c>
      <c r="E208" s="6">
        <v>1300</v>
      </c>
      <c r="F208" s="6">
        <v>5614</v>
      </c>
      <c r="G208" s="17">
        <f>ROUND(Table1[[#This Row],[pledged]]/Table1[[#This Row],[goal]]*100,2)</f>
        <v>431.85</v>
      </c>
      <c r="H208" s="5">
        <f>+Table1[[#This Row],[pledged]]/Table1[[#This Row],[goal]]</f>
        <v>4.3184615384615386</v>
      </c>
      <c r="I208" t="s">
        <v>20</v>
      </c>
      <c r="J208">
        <v>80</v>
      </c>
      <c r="K208" s="8">
        <f>IFERROR(Table1[[#This Row],[pledged]]/Table1[[#This Row],[backers_count]],"NA")</f>
        <v>70.174999999999997</v>
      </c>
      <c r="L208" t="s">
        <v>21</v>
      </c>
      <c r="M208" t="s">
        <v>22</v>
      </c>
      <c r="N208">
        <v>1539752400</v>
      </c>
      <c r="O208">
        <v>1540789200</v>
      </c>
      <c r="P208" s="11">
        <f>+(((Table1[[#This Row],[launched_at]]/60)/60)/24)+DATE(1970,1,1)</f>
        <v>43390.208333333328</v>
      </c>
      <c r="Q208" s="11">
        <f>+(((Table1[[#This Row],[deadline]]/60)/60)/24)+DATE(1970,1,1)</f>
        <v>43402.208333333328</v>
      </c>
      <c r="R208" t="b">
        <v>1</v>
      </c>
      <c r="S208" t="b">
        <v>0</v>
      </c>
      <c r="T208" t="s">
        <v>33</v>
      </c>
      <c r="U208" t="str">
        <f>+LEFT(Table1[[#This Row],[category &amp; sub-category]],FIND("/",Table1[[#This Row],[category &amp; sub-category]])-1)</f>
        <v>theater</v>
      </c>
      <c r="V208" t="str">
        <f>+RIGHT(Table1[[#This Row],[category &amp; sub-category]],LEN(Table1[[#This Row],[category &amp; sub-category]])-SEARCH("/",Table1[[#This Row],[category &amp; sub-category]]))</f>
        <v>plays</v>
      </c>
    </row>
    <row r="209" spans="2:22" ht="15.75" customHeight="1" x14ac:dyDescent="0.25">
      <c r="B209">
        <v>206</v>
      </c>
      <c r="C209" t="s">
        <v>464</v>
      </c>
      <c r="D209" s="3" t="s">
        <v>465</v>
      </c>
      <c r="E209" s="6">
        <v>9000</v>
      </c>
      <c r="F209" s="6">
        <v>3496</v>
      </c>
      <c r="G209" s="17">
        <f>ROUND(Table1[[#This Row],[pledged]]/Table1[[#This Row],[goal]]*100,2)</f>
        <v>38.840000000000003</v>
      </c>
      <c r="H209" s="5">
        <f>+Table1[[#This Row],[pledged]]/Table1[[#This Row],[goal]]</f>
        <v>0.38844444444444443</v>
      </c>
      <c r="I209" t="s">
        <v>74</v>
      </c>
      <c r="J209">
        <v>57</v>
      </c>
      <c r="K209" s="8">
        <f>IFERROR(Table1[[#This Row],[pledged]]/Table1[[#This Row],[backers_count]],"NA")</f>
        <v>61.333333333333336</v>
      </c>
      <c r="L209" t="s">
        <v>21</v>
      </c>
      <c r="M209" t="s">
        <v>22</v>
      </c>
      <c r="N209">
        <v>1267250400</v>
      </c>
      <c r="O209">
        <v>1268028000</v>
      </c>
      <c r="P209" s="11">
        <f>+(((Table1[[#This Row],[launched_at]]/60)/60)/24)+DATE(1970,1,1)</f>
        <v>40236.25</v>
      </c>
      <c r="Q209" s="11">
        <f>+(((Table1[[#This Row],[deadline]]/60)/60)/24)+DATE(1970,1,1)</f>
        <v>40245.25</v>
      </c>
      <c r="R209" t="b">
        <v>0</v>
      </c>
      <c r="S209" t="b">
        <v>0</v>
      </c>
      <c r="T209" t="s">
        <v>119</v>
      </c>
      <c r="U209" t="str">
        <f>+LEFT(Table1[[#This Row],[category &amp; sub-category]],FIND("/",Table1[[#This Row],[category &amp; sub-category]])-1)</f>
        <v>publishing</v>
      </c>
      <c r="V209" t="str">
        <f>+RIGHT(Table1[[#This Row],[category &amp; sub-category]],LEN(Table1[[#This Row],[category &amp; sub-category]])-SEARCH("/",Table1[[#This Row],[category &amp; sub-category]]))</f>
        <v>fiction</v>
      </c>
    </row>
    <row r="210" spans="2:22" ht="15.75" customHeight="1" x14ac:dyDescent="0.25">
      <c r="B210">
        <v>207</v>
      </c>
      <c r="C210" t="s">
        <v>466</v>
      </c>
      <c r="D210" s="3" t="s">
        <v>467</v>
      </c>
      <c r="E210" s="6">
        <v>1000</v>
      </c>
      <c r="F210" s="6">
        <v>4257</v>
      </c>
      <c r="G210" s="17">
        <f>ROUND(Table1[[#This Row],[pledged]]/Table1[[#This Row],[goal]]*100,2)</f>
        <v>425.7</v>
      </c>
      <c r="H210" s="5">
        <f>+Table1[[#This Row],[pledged]]/Table1[[#This Row],[goal]]</f>
        <v>4.2569999999999997</v>
      </c>
      <c r="I210" t="s">
        <v>20</v>
      </c>
      <c r="J210">
        <v>43</v>
      </c>
      <c r="K210" s="8">
        <f>IFERROR(Table1[[#This Row],[pledged]]/Table1[[#This Row],[backers_count]],"NA")</f>
        <v>99</v>
      </c>
      <c r="L210" t="s">
        <v>21</v>
      </c>
      <c r="M210" t="s">
        <v>22</v>
      </c>
      <c r="N210">
        <v>1535432400</v>
      </c>
      <c r="O210">
        <v>1537160400</v>
      </c>
      <c r="P210" s="11">
        <f>+(((Table1[[#This Row],[launched_at]]/60)/60)/24)+DATE(1970,1,1)</f>
        <v>43340.208333333328</v>
      </c>
      <c r="Q210" s="11">
        <f>+(((Table1[[#This Row],[deadline]]/60)/60)/24)+DATE(1970,1,1)</f>
        <v>43360.208333333328</v>
      </c>
      <c r="R210" t="b">
        <v>0</v>
      </c>
      <c r="S210" t="b">
        <v>1</v>
      </c>
      <c r="T210" t="s">
        <v>23</v>
      </c>
      <c r="U210" t="str">
        <f>+LEFT(Table1[[#This Row],[category &amp; sub-category]],FIND("/",Table1[[#This Row],[category &amp; sub-category]])-1)</f>
        <v>music</v>
      </c>
      <c r="V210" t="str">
        <f>+RIGHT(Table1[[#This Row],[category &amp; sub-category]],LEN(Table1[[#This Row],[category &amp; sub-category]])-SEARCH("/",Table1[[#This Row],[category &amp; sub-category]]))</f>
        <v>rock</v>
      </c>
    </row>
    <row r="211" spans="2:22" ht="15.75" customHeight="1" x14ac:dyDescent="0.25">
      <c r="B211">
        <v>208</v>
      </c>
      <c r="C211" t="s">
        <v>468</v>
      </c>
      <c r="D211" s="3" t="s">
        <v>469</v>
      </c>
      <c r="E211" s="6">
        <v>196900</v>
      </c>
      <c r="F211" s="6">
        <v>199110</v>
      </c>
      <c r="G211" s="17">
        <f>ROUND(Table1[[#This Row],[pledged]]/Table1[[#This Row],[goal]]*100,2)</f>
        <v>101.12</v>
      </c>
      <c r="H211" s="5">
        <f>+Table1[[#This Row],[pledged]]/Table1[[#This Row],[goal]]</f>
        <v>1.0112239715591671</v>
      </c>
      <c r="I211" t="s">
        <v>20</v>
      </c>
      <c r="J211">
        <v>2053</v>
      </c>
      <c r="K211" s="8">
        <f>IFERROR(Table1[[#This Row],[pledged]]/Table1[[#This Row],[backers_count]],"NA")</f>
        <v>96.984900146127615</v>
      </c>
      <c r="L211" t="s">
        <v>21</v>
      </c>
      <c r="M211" t="s">
        <v>22</v>
      </c>
      <c r="N211">
        <v>1510207200</v>
      </c>
      <c r="O211">
        <v>1512280800</v>
      </c>
      <c r="P211" s="11">
        <f>+(((Table1[[#This Row],[launched_at]]/60)/60)/24)+DATE(1970,1,1)</f>
        <v>43048.25</v>
      </c>
      <c r="Q211" s="11">
        <f>+(((Table1[[#This Row],[deadline]]/60)/60)/24)+DATE(1970,1,1)</f>
        <v>43072.25</v>
      </c>
      <c r="R211" t="b">
        <v>0</v>
      </c>
      <c r="S211" t="b">
        <v>0</v>
      </c>
      <c r="T211" t="s">
        <v>42</v>
      </c>
      <c r="U211" t="str">
        <f>+LEFT(Table1[[#This Row],[category &amp; sub-category]],FIND("/",Table1[[#This Row],[category &amp; sub-category]])-1)</f>
        <v>film &amp; video</v>
      </c>
      <c r="V211" t="str">
        <f>+RIGHT(Table1[[#This Row],[category &amp; sub-category]],LEN(Table1[[#This Row],[category &amp; sub-category]])-SEARCH("/",Table1[[#This Row],[category &amp; sub-category]]))</f>
        <v>documentary</v>
      </c>
    </row>
    <row r="212" spans="2:22" ht="15.75" customHeight="1" x14ac:dyDescent="0.25">
      <c r="B212">
        <v>209</v>
      </c>
      <c r="C212" t="s">
        <v>470</v>
      </c>
      <c r="D212" s="3" t="s">
        <v>471</v>
      </c>
      <c r="E212" s="6">
        <v>194500</v>
      </c>
      <c r="F212" s="6">
        <v>41212</v>
      </c>
      <c r="G212" s="17">
        <f>ROUND(Table1[[#This Row],[pledged]]/Table1[[#This Row],[goal]]*100,2)</f>
        <v>21.19</v>
      </c>
      <c r="H212" s="5">
        <f>+Table1[[#This Row],[pledged]]/Table1[[#This Row],[goal]]</f>
        <v>0.21188688946015424</v>
      </c>
      <c r="I212" t="s">
        <v>47</v>
      </c>
      <c r="J212">
        <v>808</v>
      </c>
      <c r="K212" s="8">
        <f>IFERROR(Table1[[#This Row],[pledged]]/Table1[[#This Row],[backers_count]],"NA")</f>
        <v>51.004950495049506</v>
      </c>
      <c r="L212" t="s">
        <v>26</v>
      </c>
      <c r="M212" t="s">
        <v>27</v>
      </c>
      <c r="N212">
        <v>1462510800</v>
      </c>
      <c r="O212">
        <v>1463115600</v>
      </c>
      <c r="P212" s="11">
        <f>+(((Table1[[#This Row],[launched_at]]/60)/60)/24)+DATE(1970,1,1)</f>
        <v>42496.208333333328</v>
      </c>
      <c r="Q212" s="11">
        <f>+(((Table1[[#This Row],[deadline]]/60)/60)/24)+DATE(1970,1,1)</f>
        <v>42503.208333333328</v>
      </c>
      <c r="R212" t="b">
        <v>0</v>
      </c>
      <c r="S212" t="b">
        <v>0</v>
      </c>
      <c r="T212" t="s">
        <v>42</v>
      </c>
      <c r="U212" t="str">
        <f>+LEFT(Table1[[#This Row],[category &amp; sub-category]],FIND("/",Table1[[#This Row],[category &amp; sub-category]])-1)</f>
        <v>film &amp; video</v>
      </c>
      <c r="V212" t="str">
        <f>+RIGHT(Table1[[#This Row],[category &amp; sub-category]],LEN(Table1[[#This Row],[category &amp; sub-category]])-SEARCH("/",Table1[[#This Row],[category &amp; sub-category]]))</f>
        <v>documentary</v>
      </c>
    </row>
    <row r="213" spans="2:22" ht="15.75" customHeight="1" x14ac:dyDescent="0.25">
      <c r="B213">
        <v>210</v>
      </c>
      <c r="C213" t="s">
        <v>472</v>
      </c>
      <c r="D213" s="3" t="s">
        <v>473</v>
      </c>
      <c r="E213" s="6">
        <v>9400</v>
      </c>
      <c r="F213" s="6">
        <v>6338</v>
      </c>
      <c r="G213" s="17">
        <f>ROUND(Table1[[#This Row],[pledged]]/Table1[[#This Row],[goal]]*100,2)</f>
        <v>67.430000000000007</v>
      </c>
      <c r="H213" s="5">
        <f>+Table1[[#This Row],[pledged]]/Table1[[#This Row],[goal]]</f>
        <v>0.67425531914893622</v>
      </c>
      <c r="I213" t="s">
        <v>14</v>
      </c>
      <c r="J213">
        <v>226</v>
      </c>
      <c r="K213" s="8">
        <f>IFERROR(Table1[[#This Row],[pledged]]/Table1[[#This Row],[backers_count]],"NA")</f>
        <v>28.044247787610619</v>
      </c>
      <c r="L213" t="s">
        <v>36</v>
      </c>
      <c r="M213" t="s">
        <v>37</v>
      </c>
      <c r="N213">
        <v>1488520800</v>
      </c>
      <c r="O213">
        <v>1490850000</v>
      </c>
      <c r="P213" s="11">
        <f>+(((Table1[[#This Row],[launched_at]]/60)/60)/24)+DATE(1970,1,1)</f>
        <v>42797.25</v>
      </c>
      <c r="Q213" s="11">
        <f>+(((Table1[[#This Row],[deadline]]/60)/60)/24)+DATE(1970,1,1)</f>
        <v>42824.208333333328</v>
      </c>
      <c r="R213" t="b">
        <v>0</v>
      </c>
      <c r="S213" t="b">
        <v>0</v>
      </c>
      <c r="T213" t="s">
        <v>474</v>
      </c>
      <c r="U213" t="str">
        <f>+LEFT(Table1[[#This Row],[category &amp; sub-category]],FIND("/",Table1[[#This Row],[category &amp; sub-category]])-1)</f>
        <v>film &amp; video</v>
      </c>
      <c r="V213" t="str">
        <f>+RIGHT(Table1[[#This Row],[category &amp; sub-category]],LEN(Table1[[#This Row],[category &amp; sub-category]])-SEARCH("/",Table1[[#This Row],[category &amp; sub-category]]))</f>
        <v>science fiction</v>
      </c>
    </row>
    <row r="214" spans="2:22" ht="15.75" customHeight="1" x14ac:dyDescent="0.25">
      <c r="B214">
        <v>211</v>
      </c>
      <c r="C214" t="s">
        <v>475</v>
      </c>
      <c r="D214" s="3" t="s">
        <v>476</v>
      </c>
      <c r="E214" s="6">
        <v>104400</v>
      </c>
      <c r="F214" s="6">
        <v>99100</v>
      </c>
      <c r="G214" s="17">
        <f>ROUND(Table1[[#This Row],[pledged]]/Table1[[#This Row],[goal]]*100,2)</f>
        <v>94.92</v>
      </c>
      <c r="H214" s="5">
        <f>+Table1[[#This Row],[pledged]]/Table1[[#This Row],[goal]]</f>
        <v>0.9492337164750958</v>
      </c>
      <c r="I214" t="s">
        <v>14</v>
      </c>
      <c r="J214">
        <v>1625</v>
      </c>
      <c r="K214" s="8">
        <f>IFERROR(Table1[[#This Row],[pledged]]/Table1[[#This Row],[backers_count]],"NA")</f>
        <v>60.984615384615381</v>
      </c>
      <c r="L214" t="s">
        <v>21</v>
      </c>
      <c r="M214" t="s">
        <v>22</v>
      </c>
      <c r="N214">
        <v>1377579600</v>
      </c>
      <c r="O214">
        <v>1379653200</v>
      </c>
      <c r="P214" s="11">
        <f>+(((Table1[[#This Row],[launched_at]]/60)/60)/24)+DATE(1970,1,1)</f>
        <v>41513.208333333336</v>
      </c>
      <c r="Q214" s="11">
        <f>+(((Table1[[#This Row],[deadline]]/60)/60)/24)+DATE(1970,1,1)</f>
        <v>41537.208333333336</v>
      </c>
      <c r="R214" t="b">
        <v>0</v>
      </c>
      <c r="S214" t="b">
        <v>0</v>
      </c>
      <c r="T214" t="s">
        <v>33</v>
      </c>
      <c r="U214" t="str">
        <f>+LEFT(Table1[[#This Row],[category &amp; sub-category]],FIND("/",Table1[[#This Row],[category &amp; sub-category]])-1)</f>
        <v>theater</v>
      </c>
      <c r="V214" t="str">
        <f>+RIGHT(Table1[[#This Row],[category &amp; sub-category]],LEN(Table1[[#This Row],[category &amp; sub-category]])-SEARCH("/",Table1[[#This Row],[category &amp; sub-category]]))</f>
        <v>plays</v>
      </c>
    </row>
    <row r="215" spans="2:22" ht="15.75" customHeight="1" x14ac:dyDescent="0.25">
      <c r="B215">
        <v>212</v>
      </c>
      <c r="C215" t="s">
        <v>477</v>
      </c>
      <c r="D215" s="3" t="s">
        <v>478</v>
      </c>
      <c r="E215" s="6">
        <v>8100</v>
      </c>
      <c r="F215" s="6">
        <v>12300</v>
      </c>
      <c r="G215" s="17">
        <f>ROUND(Table1[[#This Row],[pledged]]/Table1[[#This Row],[goal]]*100,2)</f>
        <v>151.85</v>
      </c>
      <c r="H215" s="5">
        <f>+Table1[[#This Row],[pledged]]/Table1[[#This Row],[goal]]</f>
        <v>1.5185185185185186</v>
      </c>
      <c r="I215" t="s">
        <v>20</v>
      </c>
      <c r="J215">
        <v>168</v>
      </c>
      <c r="K215" s="8">
        <f>IFERROR(Table1[[#This Row],[pledged]]/Table1[[#This Row],[backers_count]],"NA")</f>
        <v>73.214285714285708</v>
      </c>
      <c r="L215" t="s">
        <v>21</v>
      </c>
      <c r="M215" t="s">
        <v>22</v>
      </c>
      <c r="N215">
        <v>1576389600</v>
      </c>
      <c r="O215">
        <v>1580364000</v>
      </c>
      <c r="P215" s="11">
        <f>+(((Table1[[#This Row],[launched_at]]/60)/60)/24)+DATE(1970,1,1)</f>
        <v>43814.25</v>
      </c>
      <c r="Q215" s="11">
        <f>+(((Table1[[#This Row],[deadline]]/60)/60)/24)+DATE(1970,1,1)</f>
        <v>43860.25</v>
      </c>
      <c r="R215" t="b">
        <v>0</v>
      </c>
      <c r="S215" t="b">
        <v>0</v>
      </c>
      <c r="T215" t="s">
        <v>33</v>
      </c>
      <c r="U215" t="str">
        <f>+LEFT(Table1[[#This Row],[category &amp; sub-category]],FIND("/",Table1[[#This Row],[category &amp; sub-category]])-1)</f>
        <v>theater</v>
      </c>
      <c r="V215" t="str">
        <f>+RIGHT(Table1[[#This Row],[category &amp; sub-category]],LEN(Table1[[#This Row],[category &amp; sub-category]])-SEARCH("/",Table1[[#This Row],[category &amp; sub-category]]))</f>
        <v>plays</v>
      </c>
    </row>
    <row r="216" spans="2:22" ht="15.75" customHeight="1" x14ac:dyDescent="0.25">
      <c r="B216">
        <v>213</v>
      </c>
      <c r="C216" t="s">
        <v>479</v>
      </c>
      <c r="D216" s="3" t="s">
        <v>480</v>
      </c>
      <c r="E216" s="6">
        <v>87900</v>
      </c>
      <c r="F216" s="6">
        <v>171549</v>
      </c>
      <c r="G216" s="17">
        <f>ROUND(Table1[[#This Row],[pledged]]/Table1[[#This Row],[goal]]*100,2)</f>
        <v>195.16</v>
      </c>
      <c r="H216" s="5">
        <f>+Table1[[#This Row],[pledged]]/Table1[[#This Row],[goal]]</f>
        <v>1.9516382252559727</v>
      </c>
      <c r="I216" t="s">
        <v>20</v>
      </c>
      <c r="J216">
        <v>4289</v>
      </c>
      <c r="K216" s="8">
        <f>IFERROR(Table1[[#This Row],[pledged]]/Table1[[#This Row],[backers_count]],"NA")</f>
        <v>39.997435299603637</v>
      </c>
      <c r="L216" t="s">
        <v>21</v>
      </c>
      <c r="M216" t="s">
        <v>22</v>
      </c>
      <c r="N216">
        <v>1289019600</v>
      </c>
      <c r="O216">
        <v>1289714400</v>
      </c>
      <c r="P216" s="11">
        <f>+(((Table1[[#This Row],[launched_at]]/60)/60)/24)+DATE(1970,1,1)</f>
        <v>40488.208333333336</v>
      </c>
      <c r="Q216" s="11">
        <f>+(((Table1[[#This Row],[deadline]]/60)/60)/24)+DATE(1970,1,1)</f>
        <v>40496.25</v>
      </c>
      <c r="R216" t="b">
        <v>0</v>
      </c>
      <c r="S216" t="b">
        <v>1</v>
      </c>
      <c r="T216" t="s">
        <v>60</v>
      </c>
      <c r="U216" t="str">
        <f>+LEFT(Table1[[#This Row],[category &amp; sub-category]],FIND("/",Table1[[#This Row],[category &amp; sub-category]])-1)</f>
        <v>music</v>
      </c>
      <c r="V216" t="str">
        <f>+RIGHT(Table1[[#This Row],[category &amp; sub-category]],LEN(Table1[[#This Row],[category &amp; sub-category]])-SEARCH("/",Table1[[#This Row],[category &amp; sub-category]]))</f>
        <v>indie rock</v>
      </c>
    </row>
    <row r="217" spans="2:22" ht="15.75" customHeight="1" x14ac:dyDescent="0.25">
      <c r="B217">
        <v>214</v>
      </c>
      <c r="C217" t="s">
        <v>481</v>
      </c>
      <c r="D217" s="3" t="s">
        <v>482</v>
      </c>
      <c r="E217" s="6">
        <v>1400</v>
      </c>
      <c r="F217" s="6">
        <v>14324</v>
      </c>
      <c r="G217" s="17">
        <f>ROUND(Table1[[#This Row],[pledged]]/Table1[[#This Row],[goal]]*100,2)</f>
        <v>1023.14</v>
      </c>
      <c r="H217" s="5">
        <f>+Table1[[#This Row],[pledged]]/Table1[[#This Row],[goal]]</f>
        <v>10.231428571428571</v>
      </c>
      <c r="I217" t="s">
        <v>20</v>
      </c>
      <c r="J217">
        <v>165</v>
      </c>
      <c r="K217" s="8">
        <f>IFERROR(Table1[[#This Row],[pledged]]/Table1[[#This Row],[backers_count]],"NA")</f>
        <v>86.812121212121212</v>
      </c>
      <c r="L217" t="s">
        <v>21</v>
      </c>
      <c r="M217" t="s">
        <v>22</v>
      </c>
      <c r="N217">
        <v>1282194000</v>
      </c>
      <c r="O217">
        <v>1282712400</v>
      </c>
      <c r="P217" s="11">
        <f>+(((Table1[[#This Row],[launched_at]]/60)/60)/24)+DATE(1970,1,1)</f>
        <v>40409.208333333336</v>
      </c>
      <c r="Q217" s="11">
        <f>+(((Table1[[#This Row],[deadline]]/60)/60)/24)+DATE(1970,1,1)</f>
        <v>40415.208333333336</v>
      </c>
      <c r="R217" t="b">
        <v>0</v>
      </c>
      <c r="S217" t="b">
        <v>0</v>
      </c>
      <c r="T217" t="s">
        <v>23</v>
      </c>
      <c r="U217" t="str">
        <f>+LEFT(Table1[[#This Row],[category &amp; sub-category]],FIND("/",Table1[[#This Row],[category &amp; sub-category]])-1)</f>
        <v>music</v>
      </c>
      <c r="V217" t="str">
        <f>+RIGHT(Table1[[#This Row],[category &amp; sub-category]],LEN(Table1[[#This Row],[category &amp; sub-category]])-SEARCH("/",Table1[[#This Row],[category &amp; sub-category]]))</f>
        <v>rock</v>
      </c>
    </row>
    <row r="218" spans="2:22" ht="15.75" customHeight="1" x14ac:dyDescent="0.25">
      <c r="B218">
        <v>215</v>
      </c>
      <c r="C218" t="s">
        <v>483</v>
      </c>
      <c r="D218" s="3" t="s">
        <v>484</v>
      </c>
      <c r="E218" s="6">
        <v>156800</v>
      </c>
      <c r="F218" s="6">
        <v>6024</v>
      </c>
      <c r="G218" s="17">
        <f>ROUND(Table1[[#This Row],[pledged]]/Table1[[#This Row],[goal]]*100,2)</f>
        <v>3.84</v>
      </c>
      <c r="H218" s="5">
        <f>+Table1[[#This Row],[pledged]]/Table1[[#This Row],[goal]]</f>
        <v>3.8418367346938778E-2</v>
      </c>
      <c r="I218" t="s">
        <v>14</v>
      </c>
      <c r="J218">
        <v>143</v>
      </c>
      <c r="K218" s="8">
        <f>IFERROR(Table1[[#This Row],[pledged]]/Table1[[#This Row],[backers_count]],"NA")</f>
        <v>42.125874125874127</v>
      </c>
      <c r="L218" t="s">
        <v>21</v>
      </c>
      <c r="M218" t="s">
        <v>22</v>
      </c>
      <c r="N218">
        <v>1550037600</v>
      </c>
      <c r="O218">
        <v>1550210400</v>
      </c>
      <c r="P218" s="11">
        <f>+(((Table1[[#This Row],[launched_at]]/60)/60)/24)+DATE(1970,1,1)</f>
        <v>43509.25</v>
      </c>
      <c r="Q218" s="11">
        <f>+(((Table1[[#This Row],[deadline]]/60)/60)/24)+DATE(1970,1,1)</f>
        <v>43511.25</v>
      </c>
      <c r="R218" t="b">
        <v>0</v>
      </c>
      <c r="S218" t="b">
        <v>0</v>
      </c>
      <c r="T218" t="s">
        <v>33</v>
      </c>
      <c r="U218" t="str">
        <f>+LEFT(Table1[[#This Row],[category &amp; sub-category]],FIND("/",Table1[[#This Row],[category &amp; sub-category]])-1)</f>
        <v>theater</v>
      </c>
      <c r="V218" t="str">
        <f>+RIGHT(Table1[[#This Row],[category &amp; sub-category]],LEN(Table1[[#This Row],[category &amp; sub-category]])-SEARCH("/",Table1[[#This Row],[category &amp; sub-category]]))</f>
        <v>plays</v>
      </c>
    </row>
    <row r="219" spans="2:22" ht="15.75" customHeight="1" x14ac:dyDescent="0.25">
      <c r="B219">
        <v>216</v>
      </c>
      <c r="C219" t="s">
        <v>485</v>
      </c>
      <c r="D219" s="3" t="s">
        <v>486</v>
      </c>
      <c r="E219" s="6">
        <v>121700</v>
      </c>
      <c r="F219" s="6">
        <v>188721</v>
      </c>
      <c r="G219" s="17">
        <f>ROUND(Table1[[#This Row],[pledged]]/Table1[[#This Row],[goal]]*100,2)</f>
        <v>155.07</v>
      </c>
      <c r="H219" s="5">
        <f>+Table1[[#This Row],[pledged]]/Table1[[#This Row],[goal]]</f>
        <v>1.5507066557107643</v>
      </c>
      <c r="I219" t="s">
        <v>20</v>
      </c>
      <c r="J219">
        <v>1815</v>
      </c>
      <c r="K219" s="8">
        <f>IFERROR(Table1[[#This Row],[pledged]]/Table1[[#This Row],[backers_count]],"NA")</f>
        <v>103.97851239669421</v>
      </c>
      <c r="L219" t="s">
        <v>21</v>
      </c>
      <c r="M219" t="s">
        <v>22</v>
      </c>
      <c r="N219">
        <v>1321941600</v>
      </c>
      <c r="O219">
        <v>1322114400</v>
      </c>
      <c r="P219" s="11">
        <f>+(((Table1[[#This Row],[launched_at]]/60)/60)/24)+DATE(1970,1,1)</f>
        <v>40869.25</v>
      </c>
      <c r="Q219" s="11">
        <f>+(((Table1[[#This Row],[deadline]]/60)/60)/24)+DATE(1970,1,1)</f>
        <v>40871.25</v>
      </c>
      <c r="R219" t="b">
        <v>0</v>
      </c>
      <c r="S219" t="b">
        <v>0</v>
      </c>
      <c r="T219" t="s">
        <v>33</v>
      </c>
      <c r="U219" t="str">
        <f>+LEFT(Table1[[#This Row],[category &amp; sub-category]],FIND("/",Table1[[#This Row],[category &amp; sub-category]])-1)</f>
        <v>theater</v>
      </c>
      <c r="V219" t="str">
        <f>+RIGHT(Table1[[#This Row],[category &amp; sub-category]],LEN(Table1[[#This Row],[category &amp; sub-category]])-SEARCH("/",Table1[[#This Row],[category &amp; sub-category]]))</f>
        <v>plays</v>
      </c>
    </row>
    <row r="220" spans="2:22" ht="15.75" customHeight="1" x14ac:dyDescent="0.25">
      <c r="B220">
        <v>217</v>
      </c>
      <c r="C220" t="s">
        <v>487</v>
      </c>
      <c r="D220" s="3" t="s">
        <v>488</v>
      </c>
      <c r="E220" s="6">
        <v>129400</v>
      </c>
      <c r="F220" s="6">
        <v>57911</v>
      </c>
      <c r="G220" s="17">
        <f>ROUND(Table1[[#This Row],[pledged]]/Table1[[#This Row],[goal]]*100,2)</f>
        <v>44.75</v>
      </c>
      <c r="H220" s="5">
        <f>+Table1[[#This Row],[pledged]]/Table1[[#This Row],[goal]]</f>
        <v>0.44753477588871715</v>
      </c>
      <c r="I220" t="s">
        <v>14</v>
      </c>
      <c r="J220">
        <v>934</v>
      </c>
      <c r="K220" s="8">
        <f>IFERROR(Table1[[#This Row],[pledged]]/Table1[[#This Row],[backers_count]],"NA")</f>
        <v>62.003211991434689</v>
      </c>
      <c r="L220" t="s">
        <v>21</v>
      </c>
      <c r="M220" t="s">
        <v>22</v>
      </c>
      <c r="N220">
        <v>1556427600</v>
      </c>
      <c r="O220">
        <v>1557205200</v>
      </c>
      <c r="P220" s="11">
        <f>+(((Table1[[#This Row],[launched_at]]/60)/60)/24)+DATE(1970,1,1)</f>
        <v>43583.208333333328</v>
      </c>
      <c r="Q220" s="11">
        <f>+(((Table1[[#This Row],[deadline]]/60)/60)/24)+DATE(1970,1,1)</f>
        <v>43592.208333333328</v>
      </c>
      <c r="R220" t="b">
        <v>0</v>
      </c>
      <c r="S220" t="b">
        <v>0</v>
      </c>
      <c r="T220" t="s">
        <v>474</v>
      </c>
      <c r="U220" t="str">
        <f>+LEFT(Table1[[#This Row],[category &amp; sub-category]],FIND("/",Table1[[#This Row],[category &amp; sub-category]])-1)</f>
        <v>film &amp; video</v>
      </c>
      <c r="V220" t="str">
        <f>+RIGHT(Table1[[#This Row],[category &amp; sub-category]],LEN(Table1[[#This Row],[category &amp; sub-category]])-SEARCH("/",Table1[[#This Row],[category &amp; sub-category]]))</f>
        <v>science fiction</v>
      </c>
    </row>
    <row r="221" spans="2:22" ht="15.75" customHeight="1" x14ac:dyDescent="0.25">
      <c r="B221">
        <v>218</v>
      </c>
      <c r="C221" t="s">
        <v>489</v>
      </c>
      <c r="D221" s="3" t="s">
        <v>490</v>
      </c>
      <c r="E221" s="6">
        <v>5700</v>
      </c>
      <c r="F221" s="6">
        <v>12309</v>
      </c>
      <c r="G221" s="17">
        <f>ROUND(Table1[[#This Row],[pledged]]/Table1[[#This Row],[goal]]*100,2)</f>
        <v>215.95</v>
      </c>
      <c r="H221" s="5">
        <f>+Table1[[#This Row],[pledged]]/Table1[[#This Row],[goal]]</f>
        <v>2.1594736842105262</v>
      </c>
      <c r="I221" t="s">
        <v>20</v>
      </c>
      <c r="J221">
        <v>397</v>
      </c>
      <c r="K221" s="8">
        <f>IFERROR(Table1[[#This Row],[pledged]]/Table1[[#This Row],[backers_count]],"NA")</f>
        <v>31.005037783375315</v>
      </c>
      <c r="L221" t="s">
        <v>40</v>
      </c>
      <c r="M221" t="s">
        <v>41</v>
      </c>
      <c r="N221">
        <v>1320991200</v>
      </c>
      <c r="O221">
        <v>1323928800</v>
      </c>
      <c r="P221" s="11">
        <f>+(((Table1[[#This Row],[launched_at]]/60)/60)/24)+DATE(1970,1,1)</f>
        <v>40858.25</v>
      </c>
      <c r="Q221" s="11">
        <f>+(((Table1[[#This Row],[deadline]]/60)/60)/24)+DATE(1970,1,1)</f>
        <v>40892.25</v>
      </c>
      <c r="R221" t="b">
        <v>0</v>
      </c>
      <c r="S221" t="b">
        <v>1</v>
      </c>
      <c r="T221" t="s">
        <v>100</v>
      </c>
      <c r="U221" t="str">
        <f>+LEFT(Table1[[#This Row],[category &amp; sub-category]],FIND("/",Table1[[#This Row],[category &amp; sub-category]])-1)</f>
        <v>film &amp; video</v>
      </c>
      <c r="V221" t="str">
        <f>+RIGHT(Table1[[#This Row],[category &amp; sub-category]],LEN(Table1[[#This Row],[category &amp; sub-category]])-SEARCH("/",Table1[[#This Row],[category &amp; sub-category]]))</f>
        <v>shorts</v>
      </c>
    </row>
    <row r="222" spans="2:22" ht="15.75" customHeight="1" x14ac:dyDescent="0.25">
      <c r="B222">
        <v>219</v>
      </c>
      <c r="C222" t="s">
        <v>491</v>
      </c>
      <c r="D222" s="3" t="s">
        <v>492</v>
      </c>
      <c r="E222" s="6">
        <v>41700</v>
      </c>
      <c r="F222" s="6">
        <v>138497</v>
      </c>
      <c r="G222" s="17">
        <f>ROUND(Table1[[#This Row],[pledged]]/Table1[[#This Row],[goal]]*100,2)</f>
        <v>332.13</v>
      </c>
      <c r="H222" s="5">
        <f>+Table1[[#This Row],[pledged]]/Table1[[#This Row],[goal]]</f>
        <v>3.3212709832134291</v>
      </c>
      <c r="I222" t="s">
        <v>20</v>
      </c>
      <c r="J222">
        <v>1539</v>
      </c>
      <c r="K222" s="8">
        <f>IFERROR(Table1[[#This Row],[pledged]]/Table1[[#This Row],[backers_count]],"NA")</f>
        <v>89.991552956465242</v>
      </c>
      <c r="L222" t="s">
        <v>21</v>
      </c>
      <c r="M222" t="s">
        <v>22</v>
      </c>
      <c r="N222">
        <v>1345093200</v>
      </c>
      <c r="O222">
        <v>1346130000</v>
      </c>
      <c r="P222" s="11">
        <f>+(((Table1[[#This Row],[launched_at]]/60)/60)/24)+DATE(1970,1,1)</f>
        <v>41137.208333333336</v>
      </c>
      <c r="Q222" s="11">
        <f>+(((Table1[[#This Row],[deadline]]/60)/60)/24)+DATE(1970,1,1)</f>
        <v>41149.208333333336</v>
      </c>
      <c r="R222" t="b">
        <v>0</v>
      </c>
      <c r="S222" t="b">
        <v>0</v>
      </c>
      <c r="T222" t="s">
        <v>71</v>
      </c>
      <c r="U222" t="str">
        <f>+LEFT(Table1[[#This Row],[category &amp; sub-category]],FIND("/",Table1[[#This Row],[category &amp; sub-category]])-1)</f>
        <v>film &amp; video</v>
      </c>
      <c r="V222" t="str">
        <f>+RIGHT(Table1[[#This Row],[category &amp; sub-category]],LEN(Table1[[#This Row],[category &amp; sub-category]])-SEARCH("/",Table1[[#This Row],[category &amp; sub-category]]))</f>
        <v>animation</v>
      </c>
    </row>
    <row r="223" spans="2:22" ht="15.75" customHeight="1" x14ac:dyDescent="0.25">
      <c r="B223">
        <v>220</v>
      </c>
      <c r="C223" t="s">
        <v>493</v>
      </c>
      <c r="D223" s="3" t="s">
        <v>494</v>
      </c>
      <c r="E223" s="6">
        <v>7900</v>
      </c>
      <c r="F223" s="6">
        <v>667</v>
      </c>
      <c r="G223" s="17">
        <f>ROUND(Table1[[#This Row],[pledged]]/Table1[[#This Row],[goal]]*100,2)</f>
        <v>8.44</v>
      </c>
      <c r="H223" s="5">
        <f>+Table1[[#This Row],[pledged]]/Table1[[#This Row],[goal]]</f>
        <v>8.4430379746835441E-2</v>
      </c>
      <c r="I223" t="s">
        <v>14</v>
      </c>
      <c r="J223">
        <v>17</v>
      </c>
      <c r="K223" s="8">
        <f>IFERROR(Table1[[#This Row],[pledged]]/Table1[[#This Row],[backers_count]],"NA")</f>
        <v>39.235294117647058</v>
      </c>
      <c r="L223" t="s">
        <v>21</v>
      </c>
      <c r="M223" t="s">
        <v>22</v>
      </c>
      <c r="N223">
        <v>1309496400</v>
      </c>
      <c r="O223">
        <v>1311051600</v>
      </c>
      <c r="P223" s="11">
        <f>+(((Table1[[#This Row],[launched_at]]/60)/60)/24)+DATE(1970,1,1)</f>
        <v>40725.208333333336</v>
      </c>
      <c r="Q223" s="11">
        <f>+(((Table1[[#This Row],[deadline]]/60)/60)/24)+DATE(1970,1,1)</f>
        <v>40743.208333333336</v>
      </c>
      <c r="R223" t="b">
        <v>1</v>
      </c>
      <c r="S223" t="b">
        <v>0</v>
      </c>
      <c r="T223" t="s">
        <v>33</v>
      </c>
      <c r="U223" t="str">
        <f>+LEFT(Table1[[#This Row],[category &amp; sub-category]],FIND("/",Table1[[#This Row],[category &amp; sub-category]])-1)</f>
        <v>theater</v>
      </c>
      <c r="V223" t="str">
        <f>+RIGHT(Table1[[#This Row],[category &amp; sub-category]],LEN(Table1[[#This Row],[category &amp; sub-category]])-SEARCH("/",Table1[[#This Row],[category &amp; sub-category]]))</f>
        <v>plays</v>
      </c>
    </row>
    <row r="224" spans="2:22" ht="15.75" customHeight="1" x14ac:dyDescent="0.25">
      <c r="B224">
        <v>221</v>
      </c>
      <c r="C224" t="s">
        <v>495</v>
      </c>
      <c r="D224" s="3" t="s">
        <v>496</v>
      </c>
      <c r="E224" s="6">
        <v>121500</v>
      </c>
      <c r="F224" s="6">
        <v>119830</v>
      </c>
      <c r="G224" s="17">
        <f>ROUND(Table1[[#This Row],[pledged]]/Table1[[#This Row],[goal]]*100,2)</f>
        <v>98.63</v>
      </c>
      <c r="H224" s="5">
        <f>+Table1[[#This Row],[pledged]]/Table1[[#This Row],[goal]]</f>
        <v>0.9862551440329218</v>
      </c>
      <c r="I224" t="s">
        <v>14</v>
      </c>
      <c r="J224">
        <v>2179</v>
      </c>
      <c r="K224" s="8">
        <f>IFERROR(Table1[[#This Row],[pledged]]/Table1[[#This Row],[backers_count]],"NA")</f>
        <v>54.993116108306566</v>
      </c>
      <c r="L224" t="s">
        <v>21</v>
      </c>
      <c r="M224" t="s">
        <v>22</v>
      </c>
      <c r="N224">
        <v>1340254800</v>
      </c>
      <c r="O224">
        <v>1340427600</v>
      </c>
      <c r="P224" s="11">
        <f>+(((Table1[[#This Row],[launched_at]]/60)/60)/24)+DATE(1970,1,1)</f>
        <v>41081.208333333336</v>
      </c>
      <c r="Q224" s="11">
        <f>+(((Table1[[#This Row],[deadline]]/60)/60)/24)+DATE(1970,1,1)</f>
        <v>41083.208333333336</v>
      </c>
      <c r="R224" t="b">
        <v>1</v>
      </c>
      <c r="S224" t="b">
        <v>0</v>
      </c>
      <c r="T224" t="s">
        <v>17</v>
      </c>
      <c r="U224" t="str">
        <f>+LEFT(Table1[[#This Row],[category &amp; sub-category]],FIND("/",Table1[[#This Row],[category &amp; sub-category]])-1)</f>
        <v>food</v>
      </c>
      <c r="V224" t="str">
        <f>+RIGHT(Table1[[#This Row],[category &amp; sub-category]],LEN(Table1[[#This Row],[category &amp; sub-category]])-SEARCH("/",Table1[[#This Row],[category &amp; sub-category]]))</f>
        <v>food trucks</v>
      </c>
    </row>
    <row r="225" spans="2:22" ht="15.75" customHeight="1" x14ac:dyDescent="0.25">
      <c r="B225">
        <v>222</v>
      </c>
      <c r="C225" t="s">
        <v>497</v>
      </c>
      <c r="D225" s="3" t="s">
        <v>498</v>
      </c>
      <c r="E225" s="6">
        <v>4800</v>
      </c>
      <c r="F225" s="6">
        <v>6623</v>
      </c>
      <c r="G225" s="17">
        <f>ROUND(Table1[[#This Row],[pledged]]/Table1[[#This Row],[goal]]*100,2)</f>
        <v>137.97999999999999</v>
      </c>
      <c r="H225" s="5">
        <f>+Table1[[#This Row],[pledged]]/Table1[[#This Row],[goal]]</f>
        <v>1.3797916666666667</v>
      </c>
      <c r="I225" t="s">
        <v>20</v>
      </c>
      <c r="J225">
        <v>138</v>
      </c>
      <c r="K225" s="8">
        <f>IFERROR(Table1[[#This Row],[pledged]]/Table1[[#This Row],[backers_count]],"NA")</f>
        <v>47.992753623188406</v>
      </c>
      <c r="L225" t="s">
        <v>21</v>
      </c>
      <c r="M225" t="s">
        <v>22</v>
      </c>
      <c r="N225">
        <v>1412226000</v>
      </c>
      <c r="O225">
        <v>1412312400</v>
      </c>
      <c r="P225" s="11">
        <f>+(((Table1[[#This Row],[launched_at]]/60)/60)/24)+DATE(1970,1,1)</f>
        <v>41914.208333333336</v>
      </c>
      <c r="Q225" s="11">
        <f>+(((Table1[[#This Row],[deadline]]/60)/60)/24)+DATE(1970,1,1)</f>
        <v>41915.208333333336</v>
      </c>
      <c r="R225" t="b">
        <v>0</v>
      </c>
      <c r="S225" t="b">
        <v>0</v>
      </c>
      <c r="T225" t="s">
        <v>122</v>
      </c>
      <c r="U225" t="str">
        <f>+LEFT(Table1[[#This Row],[category &amp; sub-category]],FIND("/",Table1[[#This Row],[category &amp; sub-category]])-1)</f>
        <v>photography</v>
      </c>
      <c r="V225" t="str">
        <f>+RIGHT(Table1[[#This Row],[category &amp; sub-category]],LEN(Table1[[#This Row],[category &amp; sub-category]])-SEARCH("/",Table1[[#This Row],[category &amp; sub-category]]))</f>
        <v>photography books</v>
      </c>
    </row>
    <row r="226" spans="2:22" ht="15.75" customHeight="1" x14ac:dyDescent="0.25">
      <c r="B226">
        <v>223</v>
      </c>
      <c r="C226" t="s">
        <v>499</v>
      </c>
      <c r="D226" s="3" t="s">
        <v>500</v>
      </c>
      <c r="E226" s="6">
        <v>87300</v>
      </c>
      <c r="F226" s="6">
        <v>81897</v>
      </c>
      <c r="G226" s="17">
        <f>ROUND(Table1[[#This Row],[pledged]]/Table1[[#This Row],[goal]]*100,2)</f>
        <v>93.81</v>
      </c>
      <c r="H226" s="5">
        <f>+Table1[[#This Row],[pledged]]/Table1[[#This Row],[goal]]</f>
        <v>0.93810996563573879</v>
      </c>
      <c r="I226" t="s">
        <v>14</v>
      </c>
      <c r="J226">
        <v>931</v>
      </c>
      <c r="K226" s="8">
        <f>IFERROR(Table1[[#This Row],[pledged]]/Table1[[#This Row],[backers_count]],"NA")</f>
        <v>87.966702470461868</v>
      </c>
      <c r="L226" t="s">
        <v>21</v>
      </c>
      <c r="M226" t="s">
        <v>22</v>
      </c>
      <c r="N226">
        <v>1458104400</v>
      </c>
      <c r="O226">
        <v>1459314000</v>
      </c>
      <c r="P226" s="11">
        <f>+(((Table1[[#This Row],[launched_at]]/60)/60)/24)+DATE(1970,1,1)</f>
        <v>42445.208333333328</v>
      </c>
      <c r="Q226" s="11">
        <f>+(((Table1[[#This Row],[deadline]]/60)/60)/24)+DATE(1970,1,1)</f>
        <v>42459.208333333328</v>
      </c>
      <c r="R226" t="b">
        <v>0</v>
      </c>
      <c r="S226" t="b">
        <v>0</v>
      </c>
      <c r="T226" t="s">
        <v>33</v>
      </c>
      <c r="U226" t="str">
        <f>+LEFT(Table1[[#This Row],[category &amp; sub-category]],FIND("/",Table1[[#This Row],[category &amp; sub-category]])-1)</f>
        <v>theater</v>
      </c>
      <c r="V226" t="str">
        <f>+RIGHT(Table1[[#This Row],[category &amp; sub-category]],LEN(Table1[[#This Row],[category &amp; sub-category]])-SEARCH("/",Table1[[#This Row],[category &amp; sub-category]]))</f>
        <v>plays</v>
      </c>
    </row>
    <row r="227" spans="2:22" ht="15.75" customHeight="1" x14ac:dyDescent="0.25">
      <c r="B227">
        <v>224</v>
      </c>
      <c r="C227" t="s">
        <v>501</v>
      </c>
      <c r="D227" s="3" t="s">
        <v>502</v>
      </c>
      <c r="E227" s="6">
        <v>46300</v>
      </c>
      <c r="F227" s="6">
        <v>186885</v>
      </c>
      <c r="G227" s="17">
        <f>ROUND(Table1[[#This Row],[pledged]]/Table1[[#This Row],[goal]]*100,2)</f>
        <v>403.64</v>
      </c>
      <c r="H227" s="5">
        <f>+Table1[[#This Row],[pledged]]/Table1[[#This Row],[goal]]</f>
        <v>4.0363930885529156</v>
      </c>
      <c r="I227" t="s">
        <v>20</v>
      </c>
      <c r="J227">
        <v>3594</v>
      </c>
      <c r="K227" s="8">
        <f>IFERROR(Table1[[#This Row],[pledged]]/Table1[[#This Row],[backers_count]],"NA")</f>
        <v>51.999165275459099</v>
      </c>
      <c r="L227" t="s">
        <v>21</v>
      </c>
      <c r="M227" t="s">
        <v>22</v>
      </c>
      <c r="N227">
        <v>1411534800</v>
      </c>
      <c r="O227">
        <v>1415426400</v>
      </c>
      <c r="P227" s="11">
        <f>+(((Table1[[#This Row],[launched_at]]/60)/60)/24)+DATE(1970,1,1)</f>
        <v>41906.208333333336</v>
      </c>
      <c r="Q227" s="11">
        <f>+(((Table1[[#This Row],[deadline]]/60)/60)/24)+DATE(1970,1,1)</f>
        <v>41951.25</v>
      </c>
      <c r="R227" t="b">
        <v>0</v>
      </c>
      <c r="S227" t="b">
        <v>0</v>
      </c>
      <c r="T227" t="s">
        <v>474</v>
      </c>
      <c r="U227" t="str">
        <f>+LEFT(Table1[[#This Row],[category &amp; sub-category]],FIND("/",Table1[[#This Row],[category &amp; sub-category]])-1)</f>
        <v>film &amp; video</v>
      </c>
      <c r="V227" t="str">
        <f>+RIGHT(Table1[[#This Row],[category &amp; sub-category]],LEN(Table1[[#This Row],[category &amp; sub-category]])-SEARCH("/",Table1[[#This Row],[category &amp; sub-category]]))</f>
        <v>science fiction</v>
      </c>
    </row>
    <row r="228" spans="2:22" ht="15.75" customHeight="1" x14ac:dyDescent="0.25">
      <c r="B228">
        <v>225</v>
      </c>
      <c r="C228" t="s">
        <v>503</v>
      </c>
      <c r="D228" s="3" t="s">
        <v>504</v>
      </c>
      <c r="E228" s="6">
        <v>67800</v>
      </c>
      <c r="F228" s="6">
        <v>176398</v>
      </c>
      <c r="G228" s="17">
        <f>ROUND(Table1[[#This Row],[pledged]]/Table1[[#This Row],[goal]]*100,2)</f>
        <v>260.17</v>
      </c>
      <c r="H228" s="5">
        <f>+Table1[[#This Row],[pledged]]/Table1[[#This Row],[goal]]</f>
        <v>2.6017404129793511</v>
      </c>
      <c r="I228" t="s">
        <v>20</v>
      </c>
      <c r="J228">
        <v>5880</v>
      </c>
      <c r="K228" s="8">
        <f>IFERROR(Table1[[#This Row],[pledged]]/Table1[[#This Row],[backers_count]],"NA")</f>
        <v>29.999659863945578</v>
      </c>
      <c r="L228" t="s">
        <v>21</v>
      </c>
      <c r="M228" t="s">
        <v>22</v>
      </c>
      <c r="N228">
        <v>1399093200</v>
      </c>
      <c r="O228">
        <v>1399093200</v>
      </c>
      <c r="P228" s="11">
        <f>+(((Table1[[#This Row],[launched_at]]/60)/60)/24)+DATE(1970,1,1)</f>
        <v>41762.208333333336</v>
      </c>
      <c r="Q228" s="11">
        <f>+(((Table1[[#This Row],[deadline]]/60)/60)/24)+DATE(1970,1,1)</f>
        <v>41762.208333333336</v>
      </c>
      <c r="R228" t="b">
        <v>1</v>
      </c>
      <c r="S228" t="b">
        <v>0</v>
      </c>
      <c r="T228" t="s">
        <v>23</v>
      </c>
      <c r="U228" t="str">
        <f>+LEFT(Table1[[#This Row],[category &amp; sub-category]],FIND("/",Table1[[#This Row],[category &amp; sub-category]])-1)</f>
        <v>music</v>
      </c>
      <c r="V228" t="str">
        <f>+RIGHT(Table1[[#This Row],[category &amp; sub-category]],LEN(Table1[[#This Row],[category &amp; sub-category]])-SEARCH("/",Table1[[#This Row],[category &amp; sub-category]]))</f>
        <v>rock</v>
      </c>
    </row>
    <row r="229" spans="2:22" ht="15.75" customHeight="1" x14ac:dyDescent="0.25">
      <c r="B229">
        <v>226</v>
      </c>
      <c r="C229" t="s">
        <v>253</v>
      </c>
      <c r="D229" s="3" t="s">
        <v>505</v>
      </c>
      <c r="E229" s="6">
        <v>3000</v>
      </c>
      <c r="F229" s="6">
        <v>10999</v>
      </c>
      <c r="G229" s="17">
        <f>ROUND(Table1[[#This Row],[pledged]]/Table1[[#This Row],[goal]]*100,2)</f>
        <v>366.63</v>
      </c>
      <c r="H229" s="5">
        <f>+Table1[[#This Row],[pledged]]/Table1[[#This Row],[goal]]</f>
        <v>3.6663333333333332</v>
      </c>
      <c r="I229" t="s">
        <v>20</v>
      </c>
      <c r="J229">
        <v>112</v>
      </c>
      <c r="K229" s="8">
        <f>IFERROR(Table1[[#This Row],[pledged]]/Table1[[#This Row],[backers_count]],"NA")</f>
        <v>98.205357142857139</v>
      </c>
      <c r="L229" t="s">
        <v>21</v>
      </c>
      <c r="M229" t="s">
        <v>22</v>
      </c>
      <c r="N229">
        <v>1270702800</v>
      </c>
      <c r="O229">
        <v>1273899600</v>
      </c>
      <c r="P229" s="11">
        <f>+(((Table1[[#This Row],[launched_at]]/60)/60)/24)+DATE(1970,1,1)</f>
        <v>40276.208333333336</v>
      </c>
      <c r="Q229" s="11">
        <f>+(((Table1[[#This Row],[deadline]]/60)/60)/24)+DATE(1970,1,1)</f>
        <v>40313.208333333336</v>
      </c>
      <c r="R229" t="b">
        <v>0</v>
      </c>
      <c r="S229" t="b">
        <v>0</v>
      </c>
      <c r="T229" t="s">
        <v>122</v>
      </c>
      <c r="U229" t="str">
        <f>+LEFT(Table1[[#This Row],[category &amp; sub-category]],FIND("/",Table1[[#This Row],[category &amp; sub-category]])-1)</f>
        <v>photography</v>
      </c>
      <c r="V229" t="str">
        <f>+RIGHT(Table1[[#This Row],[category &amp; sub-category]],LEN(Table1[[#This Row],[category &amp; sub-category]])-SEARCH("/",Table1[[#This Row],[category &amp; sub-category]]))</f>
        <v>photography books</v>
      </c>
    </row>
    <row r="230" spans="2:22" ht="15.75" customHeight="1" x14ac:dyDescent="0.25">
      <c r="B230">
        <v>227</v>
      </c>
      <c r="C230" t="s">
        <v>506</v>
      </c>
      <c r="D230" s="3" t="s">
        <v>507</v>
      </c>
      <c r="E230" s="6">
        <v>60900</v>
      </c>
      <c r="F230" s="6">
        <v>102751</v>
      </c>
      <c r="G230" s="17">
        <f>ROUND(Table1[[#This Row],[pledged]]/Table1[[#This Row],[goal]]*100,2)</f>
        <v>168.72</v>
      </c>
      <c r="H230" s="5">
        <f>+Table1[[#This Row],[pledged]]/Table1[[#This Row],[goal]]</f>
        <v>1.687208538587849</v>
      </c>
      <c r="I230" t="s">
        <v>20</v>
      </c>
      <c r="J230">
        <v>943</v>
      </c>
      <c r="K230" s="8">
        <f>IFERROR(Table1[[#This Row],[pledged]]/Table1[[#This Row],[backers_count]],"NA")</f>
        <v>108.96182396606575</v>
      </c>
      <c r="L230" t="s">
        <v>21</v>
      </c>
      <c r="M230" t="s">
        <v>22</v>
      </c>
      <c r="N230">
        <v>1431666000</v>
      </c>
      <c r="O230">
        <v>1432184400</v>
      </c>
      <c r="P230" s="11">
        <f>+(((Table1[[#This Row],[launched_at]]/60)/60)/24)+DATE(1970,1,1)</f>
        <v>42139.208333333328</v>
      </c>
      <c r="Q230" s="11">
        <f>+(((Table1[[#This Row],[deadline]]/60)/60)/24)+DATE(1970,1,1)</f>
        <v>42145.208333333328</v>
      </c>
      <c r="R230" t="b">
        <v>0</v>
      </c>
      <c r="S230" t="b">
        <v>0</v>
      </c>
      <c r="T230" t="s">
        <v>292</v>
      </c>
      <c r="U230" t="str">
        <f>+LEFT(Table1[[#This Row],[category &amp; sub-category]],FIND("/",Table1[[#This Row],[category &amp; sub-category]])-1)</f>
        <v>games</v>
      </c>
      <c r="V230" t="str">
        <f>+RIGHT(Table1[[#This Row],[category &amp; sub-category]],LEN(Table1[[#This Row],[category &amp; sub-category]])-SEARCH("/",Table1[[#This Row],[category &amp; sub-category]]))</f>
        <v>mobile games</v>
      </c>
    </row>
    <row r="231" spans="2:22" ht="15.75" customHeight="1" x14ac:dyDescent="0.25">
      <c r="B231">
        <v>228</v>
      </c>
      <c r="C231" t="s">
        <v>508</v>
      </c>
      <c r="D231" s="3" t="s">
        <v>509</v>
      </c>
      <c r="E231" s="6">
        <v>137900</v>
      </c>
      <c r="F231" s="6">
        <v>165352</v>
      </c>
      <c r="G231" s="17">
        <f>ROUND(Table1[[#This Row],[pledged]]/Table1[[#This Row],[goal]]*100,2)</f>
        <v>119.91</v>
      </c>
      <c r="H231" s="5">
        <f>+Table1[[#This Row],[pledged]]/Table1[[#This Row],[goal]]</f>
        <v>1.1990717911530093</v>
      </c>
      <c r="I231" t="s">
        <v>20</v>
      </c>
      <c r="J231">
        <v>2468</v>
      </c>
      <c r="K231" s="8">
        <f>IFERROR(Table1[[#This Row],[pledged]]/Table1[[#This Row],[backers_count]],"NA")</f>
        <v>66.998379254457049</v>
      </c>
      <c r="L231" t="s">
        <v>21</v>
      </c>
      <c r="M231" t="s">
        <v>22</v>
      </c>
      <c r="N231">
        <v>1472619600</v>
      </c>
      <c r="O231">
        <v>1474779600</v>
      </c>
      <c r="P231" s="11">
        <f>+(((Table1[[#This Row],[launched_at]]/60)/60)/24)+DATE(1970,1,1)</f>
        <v>42613.208333333328</v>
      </c>
      <c r="Q231" s="11">
        <f>+(((Table1[[#This Row],[deadline]]/60)/60)/24)+DATE(1970,1,1)</f>
        <v>42638.208333333328</v>
      </c>
      <c r="R231" t="b">
        <v>0</v>
      </c>
      <c r="S231" t="b">
        <v>0</v>
      </c>
      <c r="T231" t="s">
        <v>71</v>
      </c>
      <c r="U231" t="str">
        <f>+LEFT(Table1[[#This Row],[category &amp; sub-category]],FIND("/",Table1[[#This Row],[category &amp; sub-category]])-1)</f>
        <v>film &amp; video</v>
      </c>
      <c r="V231" t="str">
        <f>+RIGHT(Table1[[#This Row],[category &amp; sub-category]],LEN(Table1[[#This Row],[category &amp; sub-category]])-SEARCH("/",Table1[[#This Row],[category &amp; sub-category]]))</f>
        <v>animation</v>
      </c>
    </row>
    <row r="232" spans="2:22" ht="15.75" customHeight="1" x14ac:dyDescent="0.25">
      <c r="B232">
        <v>229</v>
      </c>
      <c r="C232" t="s">
        <v>510</v>
      </c>
      <c r="D232" s="3" t="s">
        <v>511</v>
      </c>
      <c r="E232" s="6">
        <v>85600</v>
      </c>
      <c r="F232" s="6">
        <v>165798</v>
      </c>
      <c r="G232" s="17">
        <f>ROUND(Table1[[#This Row],[pledged]]/Table1[[#This Row],[goal]]*100,2)</f>
        <v>193.69</v>
      </c>
      <c r="H232" s="5">
        <f>+Table1[[#This Row],[pledged]]/Table1[[#This Row],[goal]]</f>
        <v>1.936892523364486</v>
      </c>
      <c r="I232" t="s">
        <v>20</v>
      </c>
      <c r="J232">
        <v>2551</v>
      </c>
      <c r="K232" s="8">
        <f>IFERROR(Table1[[#This Row],[pledged]]/Table1[[#This Row],[backers_count]],"NA")</f>
        <v>64.99333594668758</v>
      </c>
      <c r="L232" t="s">
        <v>21</v>
      </c>
      <c r="M232" t="s">
        <v>22</v>
      </c>
      <c r="N232">
        <v>1496293200</v>
      </c>
      <c r="O232">
        <v>1500440400</v>
      </c>
      <c r="P232" s="11">
        <f>+(((Table1[[#This Row],[launched_at]]/60)/60)/24)+DATE(1970,1,1)</f>
        <v>42887.208333333328</v>
      </c>
      <c r="Q232" s="11">
        <f>+(((Table1[[#This Row],[deadline]]/60)/60)/24)+DATE(1970,1,1)</f>
        <v>42935.208333333328</v>
      </c>
      <c r="R232" t="b">
        <v>0</v>
      </c>
      <c r="S232" t="b">
        <v>1</v>
      </c>
      <c r="T232" t="s">
        <v>292</v>
      </c>
      <c r="U232" t="str">
        <f>+LEFT(Table1[[#This Row],[category &amp; sub-category]],FIND("/",Table1[[#This Row],[category &amp; sub-category]])-1)</f>
        <v>games</v>
      </c>
      <c r="V232" t="str">
        <f>+RIGHT(Table1[[#This Row],[category &amp; sub-category]],LEN(Table1[[#This Row],[category &amp; sub-category]])-SEARCH("/",Table1[[#This Row],[category &amp; sub-category]]))</f>
        <v>mobile games</v>
      </c>
    </row>
    <row r="233" spans="2:22" ht="15.75" customHeight="1" x14ac:dyDescent="0.25">
      <c r="B233">
        <v>230</v>
      </c>
      <c r="C233" t="s">
        <v>512</v>
      </c>
      <c r="D233" s="3" t="s">
        <v>513</v>
      </c>
      <c r="E233" s="6">
        <v>2400</v>
      </c>
      <c r="F233" s="6">
        <v>10084</v>
      </c>
      <c r="G233" s="17">
        <f>ROUND(Table1[[#This Row],[pledged]]/Table1[[#This Row],[goal]]*100,2)</f>
        <v>420.17</v>
      </c>
      <c r="H233" s="5">
        <f>+Table1[[#This Row],[pledged]]/Table1[[#This Row],[goal]]</f>
        <v>4.2016666666666671</v>
      </c>
      <c r="I233" t="s">
        <v>20</v>
      </c>
      <c r="J233">
        <v>101</v>
      </c>
      <c r="K233" s="8">
        <f>IFERROR(Table1[[#This Row],[pledged]]/Table1[[#This Row],[backers_count]],"NA")</f>
        <v>99.841584158415841</v>
      </c>
      <c r="L233" t="s">
        <v>21</v>
      </c>
      <c r="M233" t="s">
        <v>22</v>
      </c>
      <c r="N233">
        <v>1575612000</v>
      </c>
      <c r="O233">
        <v>1575612000</v>
      </c>
      <c r="P233" s="11">
        <f>+(((Table1[[#This Row],[launched_at]]/60)/60)/24)+DATE(1970,1,1)</f>
        <v>43805.25</v>
      </c>
      <c r="Q233" s="11">
        <f>+(((Table1[[#This Row],[deadline]]/60)/60)/24)+DATE(1970,1,1)</f>
        <v>43805.25</v>
      </c>
      <c r="R233" t="b">
        <v>0</v>
      </c>
      <c r="S233" t="b">
        <v>0</v>
      </c>
      <c r="T233" t="s">
        <v>89</v>
      </c>
      <c r="U233" t="str">
        <f>+LEFT(Table1[[#This Row],[category &amp; sub-category]],FIND("/",Table1[[#This Row],[category &amp; sub-category]])-1)</f>
        <v>games</v>
      </c>
      <c r="V233" t="str">
        <f>+RIGHT(Table1[[#This Row],[category &amp; sub-category]],LEN(Table1[[#This Row],[category &amp; sub-category]])-SEARCH("/",Table1[[#This Row],[category &amp; sub-category]]))</f>
        <v>video games</v>
      </c>
    </row>
    <row r="234" spans="2:22" ht="15.75" customHeight="1" x14ac:dyDescent="0.25">
      <c r="B234">
        <v>231</v>
      </c>
      <c r="C234" t="s">
        <v>514</v>
      </c>
      <c r="D234" s="3" t="s">
        <v>515</v>
      </c>
      <c r="E234" s="6">
        <v>7200</v>
      </c>
      <c r="F234" s="6">
        <v>5523</v>
      </c>
      <c r="G234" s="17">
        <f>ROUND(Table1[[#This Row],[pledged]]/Table1[[#This Row],[goal]]*100,2)</f>
        <v>76.709999999999994</v>
      </c>
      <c r="H234" s="5">
        <f>+Table1[[#This Row],[pledged]]/Table1[[#This Row],[goal]]</f>
        <v>0.76708333333333334</v>
      </c>
      <c r="I234" t="s">
        <v>74</v>
      </c>
      <c r="J234">
        <v>67</v>
      </c>
      <c r="K234" s="8">
        <f>IFERROR(Table1[[#This Row],[pledged]]/Table1[[#This Row],[backers_count]],"NA")</f>
        <v>82.432835820895519</v>
      </c>
      <c r="L234" t="s">
        <v>21</v>
      </c>
      <c r="M234" t="s">
        <v>22</v>
      </c>
      <c r="N234">
        <v>1369112400</v>
      </c>
      <c r="O234">
        <v>1374123600</v>
      </c>
      <c r="P234" s="11">
        <f>+(((Table1[[#This Row],[launched_at]]/60)/60)/24)+DATE(1970,1,1)</f>
        <v>41415.208333333336</v>
      </c>
      <c r="Q234" s="11">
        <f>+(((Table1[[#This Row],[deadline]]/60)/60)/24)+DATE(1970,1,1)</f>
        <v>41473.208333333336</v>
      </c>
      <c r="R234" t="b">
        <v>0</v>
      </c>
      <c r="S234" t="b">
        <v>0</v>
      </c>
      <c r="T234" t="s">
        <v>33</v>
      </c>
      <c r="U234" t="str">
        <f>+LEFT(Table1[[#This Row],[category &amp; sub-category]],FIND("/",Table1[[#This Row],[category &amp; sub-category]])-1)</f>
        <v>theater</v>
      </c>
      <c r="V234" t="str">
        <f>+RIGHT(Table1[[#This Row],[category &amp; sub-category]],LEN(Table1[[#This Row],[category &amp; sub-category]])-SEARCH("/",Table1[[#This Row],[category &amp; sub-category]]))</f>
        <v>plays</v>
      </c>
    </row>
    <row r="235" spans="2:22" ht="15.75" customHeight="1" x14ac:dyDescent="0.25">
      <c r="B235">
        <v>232</v>
      </c>
      <c r="C235" t="s">
        <v>516</v>
      </c>
      <c r="D235" s="3" t="s">
        <v>517</v>
      </c>
      <c r="E235" s="6">
        <v>3400</v>
      </c>
      <c r="F235" s="6">
        <v>5823</v>
      </c>
      <c r="G235" s="17">
        <f>ROUND(Table1[[#This Row],[pledged]]/Table1[[#This Row],[goal]]*100,2)</f>
        <v>171.26</v>
      </c>
      <c r="H235" s="5">
        <f>+Table1[[#This Row],[pledged]]/Table1[[#This Row],[goal]]</f>
        <v>1.7126470588235294</v>
      </c>
      <c r="I235" t="s">
        <v>20</v>
      </c>
      <c r="J235">
        <v>92</v>
      </c>
      <c r="K235" s="8">
        <f>IFERROR(Table1[[#This Row],[pledged]]/Table1[[#This Row],[backers_count]],"NA")</f>
        <v>63.293478260869563</v>
      </c>
      <c r="L235" t="s">
        <v>21</v>
      </c>
      <c r="M235" t="s">
        <v>22</v>
      </c>
      <c r="N235">
        <v>1469422800</v>
      </c>
      <c r="O235">
        <v>1469509200</v>
      </c>
      <c r="P235" s="11">
        <f>+(((Table1[[#This Row],[launched_at]]/60)/60)/24)+DATE(1970,1,1)</f>
        <v>42576.208333333328</v>
      </c>
      <c r="Q235" s="11">
        <f>+(((Table1[[#This Row],[deadline]]/60)/60)/24)+DATE(1970,1,1)</f>
        <v>42577.208333333328</v>
      </c>
      <c r="R235" t="b">
        <v>0</v>
      </c>
      <c r="S235" t="b">
        <v>0</v>
      </c>
      <c r="T235" t="s">
        <v>33</v>
      </c>
      <c r="U235" t="str">
        <f>+LEFT(Table1[[#This Row],[category &amp; sub-category]],FIND("/",Table1[[#This Row],[category &amp; sub-category]])-1)</f>
        <v>theater</v>
      </c>
      <c r="V235" t="str">
        <f>+RIGHT(Table1[[#This Row],[category &amp; sub-category]],LEN(Table1[[#This Row],[category &amp; sub-category]])-SEARCH("/",Table1[[#This Row],[category &amp; sub-category]]))</f>
        <v>plays</v>
      </c>
    </row>
    <row r="236" spans="2:22" ht="15.75" customHeight="1" x14ac:dyDescent="0.25">
      <c r="B236">
        <v>233</v>
      </c>
      <c r="C236" t="s">
        <v>518</v>
      </c>
      <c r="D236" s="3" t="s">
        <v>519</v>
      </c>
      <c r="E236" s="6">
        <v>3800</v>
      </c>
      <c r="F236" s="6">
        <v>6000</v>
      </c>
      <c r="G236" s="17">
        <f>ROUND(Table1[[#This Row],[pledged]]/Table1[[#This Row],[goal]]*100,2)</f>
        <v>157.88999999999999</v>
      </c>
      <c r="H236" s="5">
        <f>+Table1[[#This Row],[pledged]]/Table1[[#This Row],[goal]]</f>
        <v>1.5789473684210527</v>
      </c>
      <c r="I236" t="s">
        <v>20</v>
      </c>
      <c r="J236">
        <v>62</v>
      </c>
      <c r="K236" s="8">
        <f>IFERROR(Table1[[#This Row],[pledged]]/Table1[[#This Row],[backers_count]],"NA")</f>
        <v>96.774193548387103</v>
      </c>
      <c r="L236" t="s">
        <v>21</v>
      </c>
      <c r="M236" t="s">
        <v>22</v>
      </c>
      <c r="N236">
        <v>1307854800</v>
      </c>
      <c r="O236">
        <v>1309237200</v>
      </c>
      <c r="P236" s="11">
        <f>+(((Table1[[#This Row],[launched_at]]/60)/60)/24)+DATE(1970,1,1)</f>
        <v>40706.208333333336</v>
      </c>
      <c r="Q236" s="11">
        <f>+(((Table1[[#This Row],[deadline]]/60)/60)/24)+DATE(1970,1,1)</f>
        <v>40722.208333333336</v>
      </c>
      <c r="R236" t="b">
        <v>0</v>
      </c>
      <c r="S236" t="b">
        <v>0</v>
      </c>
      <c r="T236" t="s">
        <v>71</v>
      </c>
      <c r="U236" t="str">
        <f>+LEFT(Table1[[#This Row],[category &amp; sub-category]],FIND("/",Table1[[#This Row],[category &amp; sub-category]])-1)</f>
        <v>film &amp; video</v>
      </c>
      <c r="V236" t="str">
        <f>+RIGHT(Table1[[#This Row],[category &amp; sub-category]],LEN(Table1[[#This Row],[category &amp; sub-category]])-SEARCH("/",Table1[[#This Row],[category &amp; sub-category]]))</f>
        <v>animation</v>
      </c>
    </row>
    <row r="237" spans="2:22" ht="15.75" customHeight="1" x14ac:dyDescent="0.25">
      <c r="B237">
        <v>234</v>
      </c>
      <c r="C237" t="s">
        <v>520</v>
      </c>
      <c r="D237" s="3" t="s">
        <v>521</v>
      </c>
      <c r="E237" s="6">
        <v>7500</v>
      </c>
      <c r="F237" s="6">
        <v>8181</v>
      </c>
      <c r="G237" s="17">
        <f>ROUND(Table1[[#This Row],[pledged]]/Table1[[#This Row],[goal]]*100,2)</f>
        <v>109.08</v>
      </c>
      <c r="H237" s="5">
        <f>+Table1[[#This Row],[pledged]]/Table1[[#This Row],[goal]]</f>
        <v>1.0908</v>
      </c>
      <c r="I237" t="s">
        <v>20</v>
      </c>
      <c r="J237">
        <v>149</v>
      </c>
      <c r="K237" s="8">
        <f>IFERROR(Table1[[#This Row],[pledged]]/Table1[[#This Row],[backers_count]],"NA")</f>
        <v>54.906040268456373</v>
      </c>
      <c r="L237" t="s">
        <v>107</v>
      </c>
      <c r="M237" t="s">
        <v>108</v>
      </c>
      <c r="N237">
        <v>1503378000</v>
      </c>
      <c r="O237">
        <v>1503982800</v>
      </c>
      <c r="P237" s="11">
        <f>+(((Table1[[#This Row],[launched_at]]/60)/60)/24)+DATE(1970,1,1)</f>
        <v>42969.208333333328</v>
      </c>
      <c r="Q237" s="11">
        <f>+(((Table1[[#This Row],[deadline]]/60)/60)/24)+DATE(1970,1,1)</f>
        <v>42976.208333333328</v>
      </c>
      <c r="R237" t="b">
        <v>0</v>
      </c>
      <c r="S237" t="b">
        <v>1</v>
      </c>
      <c r="T237" t="s">
        <v>89</v>
      </c>
      <c r="U237" t="str">
        <f>+LEFT(Table1[[#This Row],[category &amp; sub-category]],FIND("/",Table1[[#This Row],[category &amp; sub-category]])-1)</f>
        <v>games</v>
      </c>
      <c r="V237" t="str">
        <f>+RIGHT(Table1[[#This Row],[category &amp; sub-category]],LEN(Table1[[#This Row],[category &amp; sub-category]])-SEARCH("/",Table1[[#This Row],[category &amp; sub-category]]))</f>
        <v>video games</v>
      </c>
    </row>
    <row r="238" spans="2:22" ht="15.75" customHeight="1" x14ac:dyDescent="0.25">
      <c r="B238">
        <v>235</v>
      </c>
      <c r="C238" t="s">
        <v>522</v>
      </c>
      <c r="D238" s="3" t="s">
        <v>523</v>
      </c>
      <c r="E238" s="6">
        <v>8600</v>
      </c>
      <c r="F238" s="6">
        <v>3589</v>
      </c>
      <c r="G238" s="17">
        <f>ROUND(Table1[[#This Row],[pledged]]/Table1[[#This Row],[goal]]*100,2)</f>
        <v>41.73</v>
      </c>
      <c r="H238" s="5">
        <f>+Table1[[#This Row],[pledged]]/Table1[[#This Row],[goal]]</f>
        <v>0.41732558139534881</v>
      </c>
      <c r="I238" t="s">
        <v>14</v>
      </c>
      <c r="J238">
        <v>92</v>
      </c>
      <c r="K238" s="8">
        <f>IFERROR(Table1[[#This Row],[pledged]]/Table1[[#This Row],[backers_count]],"NA")</f>
        <v>39.010869565217391</v>
      </c>
      <c r="L238" t="s">
        <v>21</v>
      </c>
      <c r="M238" t="s">
        <v>22</v>
      </c>
      <c r="N238">
        <v>1486965600</v>
      </c>
      <c r="O238">
        <v>1487397600</v>
      </c>
      <c r="P238" s="11">
        <f>+(((Table1[[#This Row],[launched_at]]/60)/60)/24)+DATE(1970,1,1)</f>
        <v>42779.25</v>
      </c>
      <c r="Q238" s="11">
        <f>+(((Table1[[#This Row],[deadline]]/60)/60)/24)+DATE(1970,1,1)</f>
        <v>42784.25</v>
      </c>
      <c r="R238" t="b">
        <v>0</v>
      </c>
      <c r="S238" t="b">
        <v>0</v>
      </c>
      <c r="T238" t="s">
        <v>71</v>
      </c>
      <c r="U238" t="str">
        <f>+LEFT(Table1[[#This Row],[category &amp; sub-category]],FIND("/",Table1[[#This Row],[category &amp; sub-category]])-1)</f>
        <v>film &amp; video</v>
      </c>
      <c r="V238" t="str">
        <f>+RIGHT(Table1[[#This Row],[category &amp; sub-category]],LEN(Table1[[#This Row],[category &amp; sub-category]])-SEARCH("/",Table1[[#This Row],[category &amp; sub-category]]))</f>
        <v>animation</v>
      </c>
    </row>
    <row r="239" spans="2:22" ht="15.75" customHeight="1" x14ac:dyDescent="0.25">
      <c r="B239">
        <v>236</v>
      </c>
      <c r="C239" t="s">
        <v>524</v>
      </c>
      <c r="D239" s="3" t="s">
        <v>525</v>
      </c>
      <c r="E239" s="6">
        <v>39500</v>
      </c>
      <c r="F239" s="6">
        <v>4323</v>
      </c>
      <c r="G239" s="17">
        <f>ROUND(Table1[[#This Row],[pledged]]/Table1[[#This Row],[goal]]*100,2)</f>
        <v>10.94</v>
      </c>
      <c r="H239" s="5">
        <f>+Table1[[#This Row],[pledged]]/Table1[[#This Row],[goal]]</f>
        <v>0.10944303797468355</v>
      </c>
      <c r="I239" t="s">
        <v>14</v>
      </c>
      <c r="J239">
        <v>57</v>
      </c>
      <c r="K239" s="8">
        <f>IFERROR(Table1[[#This Row],[pledged]]/Table1[[#This Row],[backers_count]],"NA")</f>
        <v>75.84210526315789</v>
      </c>
      <c r="L239" t="s">
        <v>26</v>
      </c>
      <c r="M239" t="s">
        <v>27</v>
      </c>
      <c r="N239">
        <v>1561438800</v>
      </c>
      <c r="O239">
        <v>1562043600</v>
      </c>
      <c r="P239" s="11">
        <f>+(((Table1[[#This Row],[launched_at]]/60)/60)/24)+DATE(1970,1,1)</f>
        <v>43641.208333333328</v>
      </c>
      <c r="Q239" s="11">
        <f>+(((Table1[[#This Row],[deadline]]/60)/60)/24)+DATE(1970,1,1)</f>
        <v>43648.208333333328</v>
      </c>
      <c r="R239" t="b">
        <v>0</v>
      </c>
      <c r="S239" t="b">
        <v>1</v>
      </c>
      <c r="T239" t="s">
        <v>23</v>
      </c>
      <c r="U239" t="str">
        <f>+LEFT(Table1[[#This Row],[category &amp; sub-category]],FIND("/",Table1[[#This Row],[category &amp; sub-category]])-1)</f>
        <v>music</v>
      </c>
      <c r="V239" t="str">
        <f>+RIGHT(Table1[[#This Row],[category &amp; sub-category]],LEN(Table1[[#This Row],[category &amp; sub-category]])-SEARCH("/",Table1[[#This Row],[category &amp; sub-category]]))</f>
        <v>rock</v>
      </c>
    </row>
    <row r="240" spans="2:22" ht="15.75" customHeight="1" x14ac:dyDescent="0.25">
      <c r="B240">
        <v>237</v>
      </c>
      <c r="C240" t="s">
        <v>526</v>
      </c>
      <c r="D240" s="3" t="s">
        <v>527</v>
      </c>
      <c r="E240" s="6">
        <v>9300</v>
      </c>
      <c r="F240" s="6">
        <v>14822</v>
      </c>
      <c r="G240" s="17">
        <f>ROUND(Table1[[#This Row],[pledged]]/Table1[[#This Row],[goal]]*100,2)</f>
        <v>159.38</v>
      </c>
      <c r="H240" s="5">
        <f>+Table1[[#This Row],[pledged]]/Table1[[#This Row],[goal]]</f>
        <v>1.593763440860215</v>
      </c>
      <c r="I240" t="s">
        <v>20</v>
      </c>
      <c r="J240">
        <v>329</v>
      </c>
      <c r="K240" s="8">
        <f>IFERROR(Table1[[#This Row],[pledged]]/Table1[[#This Row],[backers_count]],"NA")</f>
        <v>45.051671732522799</v>
      </c>
      <c r="L240" t="s">
        <v>21</v>
      </c>
      <c r="M240" t="s">
        <v>22</v>
      </c>
      <c r="N240">
        <v>1398402000</v>
      </c>
      <c r="O240">
        <v>1398574800</v>
      </c>
      <c r="P240" s="11">
        <f>+(((Table1[[#This Row],[launched_at]]/60)/60)/24)+DATE(1970,1,1)</f>
        <v>41754.208333333336</v>
      </c>
      <c r="Q240" s="11">
        <f>+(((Table1[[#This Row],[deadline]]/60)/60)/24)+DATE(1970,1,1)</f>
        <v>41756.208333333336</v>
      </c>
      <c r="R240" t="b">
        <v>0</v>
      </c>
      <c r="S240" t="b">
        <v>0</v>
      </c>
      <c r="T240" t="s">
        <v>71</v>
      </c>
      <c r="U240" t="str">
        <f>+LEFT(Table1[[#This Row],[category &amp; sub-category]],FIND("/",Table1[[#This Row],[category &amp; sub-category]])-1)</f>
        <v>film &amp; video</v>
      </c>
      <c r="V240" t="str">
        <f>+RIGHT(Table1[[#This Row],[category &amp; sub-category]],LEN(Table1[[#This Row],[category &amp; sub-category]])-SEARCH("/",Table1[[#This Row],[category &amp; sub-category]]))</f>
        <v>animation</v>
      </c>
    </row>
    <row r="241" spans="2:22" ht="15.75" customHeight="1" x14ac:dyDescent="0.25">
      <c r="B241">
        <v>238</v>
      </c>
      <c r="C241" t="s">
        <v>528</v>
      </c>
      <c r="D241" s="3" t="s">
        <v>529</v>
      </c>
      <c r="E241" s="6">
        <v>2400</v>
      </c>
      <c r="F241" s="6">
        <v>10138</v>
      </c>
      <c r="G241" s="17">
        <f>ROUND(Table1[[#This Row],[pledged]]/Table1[[#This Row],[goal]]*100,2)</f>
        <v>422.42</v>
      </c>
      <c r="H241" s="5">
        <f>+Table1[[#This Row],[pledged]]/Table1[[#This Row],[goal]]</f>
        <v>4.2241666666666671</v>
      </c>
      <c r="I241" t="s">
        <v>20</v>
      </c>
      <c r="J241">
        <v>97</v>
      </c>
      <c r="K241" s="8">
        <f>IFERROR(Table1[[#This Row],[pledged]]/Table1[[#This Row],[backers_count]],"NA")</f>
        <v>104.51546391752578</v>
      </c>
      <c r="L241" t="s">
        <v>36</v>
      </c>
      <c r="M241" t="s">
        <v>37</v>
      </c>
      <c r="N241">
        <v>1513231200</v>
      </c>
      <c r="O241">
        <v>1515391200</v>
      </c>
      <c r="P241" s="11">
        <f>+(((Table1[[#This Row],[launched_at]]/60)/60)/24)+DATE(1970,1,1)</f>
        <v>43083.25</v>
      </c>
      <c r="Q241" s="11">
        <f>+(((Table1[[#This Row],[deadline]]/60)/60)/24)+DATE(1970,1,1)</f>
        <v>43108.25</v>
      </c>
      <c r="R241" t="b">
        <v>0</v>
      </c>
      <c r="S241" t="b">
        <v>1</v>
      </c>
      <c r="T241" t="s">
        <v>33</v>
      </c>
      <c r="U241" t="str">
        <f>+LEFT(Table1[[#This Row],[category &amp; sub-category]],FIND("/",Table1[[#This Row],[category &amp; sub-category]])-1)</f>
        <v>theater</v>
      </c>
      <c r="V241" t="str">
        <f>+RIGHT(Table1[[#This Row],[category &amp; sub-category]],LEN(Table1[[#This Row],[category &amp; sub-category]])-SEARCH("/",Table1[[#This Row],[category &amp; sub-category]]))</f>
        <v>plays</v>
      </c>
    </row>
    <row r="242" spans="2:22" ht="15.75" customHeight="1" x14ac:dyDescent="0.25">
      <c r="B242">
        <v>239</v>
      </c>
      <c r="C242" t="s">
        <v>530</v>
      </c>
      <c r="D242" s="3" t="s">
        <v>531</v>
      </c>
      <c r="E242" s="6">
        <v>3200</v>
      </c>
      <c r="F242" s="6">
        <v>3127</v>
      </c>
      <c r="G242" s="17">
        <f>ROUND(Table1[[#This Row],[pledged]]/Table1[[#This Row],[goal]]*100,2)</f>
        <v>97.72</v>
      </c>
      <c r="H242" s="5">
        <f>+Table1[[#This Row],[pledged]]/Table1[[#This Row],[goal]]</f>
        <v>0.97718749999999999</v>
      </c>
      <c r="I242" t="s">
        <v>14</v>
      </c>
      <c r="J242">
        <v>41</v>
      </c>
      <c r="K242" s="8">
        <f>IFERROR(Table1[[#This Row],[pledged]]/Table1[[#This Row],[backers_count]],"NA")</f>
        <v>76.268292682926827</v>
      </c>
      <c r="L242" t="s">
        <v>21</v>
      </c>
      <c r="M242" t="s">
        <v>22</v>
      </c>
      <c r="N242">
        <v>1440824400</v>
      </c>
      <c r="O242">
        <v>1441170000</v>
      </c>
      <c r="P242" s="11">
        <f>+(((Table1[[#This Row],[launched_at]]/60)/60)/24)+DATE(1970,1,1)</f>
        <v>42245.208333333328</v>
      </c>
      <c r="Q242" s="11">
        <f>+(((Table1[[#This Row],[deadline]]/60)/60)/24)+DATE(1970,1,1)</f>
        <v>42249.208333333328</v>
      </c>
      <c r="R242" t="b">
        <v>0</v>
      </c>
      <c r="S242" t="b">
        <v>0</v>
      </c>
      <c r="T242" t="s">
        <v>65</v>
      </c>
      <c r="U242" t="str">
        <f>+LEFT(Table1[[#This Row],[category &amp; sub-category]],FIND("/",Table1[[#This Row],[category &amp; sub-category]])-1)</f>
        <v>technology</v>
      </c>
      <c r="V242" t="str">
        <f>+RIGHT(Table1[[#This Row],[category &amp; sub-category]],LEN(Table1[[#This Row],[category &amp; sub-category]])-SEARCH("/",Table1[[#This Row],[category &amp; sub-category]]))</f>
        <v>wearables</v>
      </c>
    </row>
    <row r="243" spans="2:22" ht="15.75" customHeight="1" x14ac:dyDescent="0.25">
      <c r="B243">
        <v>240</v>
      </c>
      <c r="C243" t="s">
        <v>532</v>
      </c>
      <c r="D243" s="3" t="s">
        <v>533</v>
      </c>
      <c r="E243" s="6">
        <v>29400</v>
      </c>
      <c r="F243" s="6">
        <v>123124</v>
      </c>
      <c r="G243" s="17">
        <f>ROUND(Table1[[#This Row],[pledged]]/Table1[[#This Row],[goal]]*100,2)</f>
        <v>418.79</v>
      </c>
      <c r="H243" s="5">
        <f>+Table1[[#This Row],[pledged]]/Table1[[#This Row],[goal]]</f>
        <v>4.1878911564625847</v>
      </c>
      <c r="I243" t="s">
        <v>20</v>
      </c>
      <c r="J243">
        <v>1784</v>
      </c>
      <c r="K243" s="8">
        <f>IFERROR(Table1[[#This Row],[pledged]]/Table1[[#This Row],[backers_count]],"NA")</f>
        <v>69.015695067264573</v>
      </c>
      <c r="L243" t="s">
        <v>21</v>
      </c>
      <c r="M243" t="s">
        <v>22</v>
      </c>
      <c r="N243">
        <v>1281070800</v>
      </c>
      <c r="O243">
        <v>1281157200</v>
      </c>
      <c r="P243" s="11">
        <f>+(((Table1[[#This Row],[launched_at]]/60)/60)/24)+DATE(1970,1,1)</f>
        <v>40396.208333333336</v>
      </c>
      <c r="Q243" s="11">
        <f>+(((Table1[[#This Row],[deadline]]/60)/60)/24)+DATE(1970,1,1)</f>
        <v>40397.208333333336</v>
      </c>
      <c r="R243" t="b">
        <v>0</v>
      </c>
      <c r="S243" t="b">
        <v>0</v>
      </c>
      <c r="T243" t="s">
        <v>33</v>
      </c>
      <c r="U243" t="str">
        <f>+LEFT(Table1[[#This Row],[category &amp; sub-category]],FIND("/",Table1[[#This Row],[category &amp; sub-category]])-1)</f>
        <v>theater</v>
      </c>
      <c r="V243" t="str">
        <f>+RIGHT(Table1[[#This Row],[category &amp; sub-category]],LEN(Table1[[#This Row],[category &amp; sub-category]])-SEARCH("/",Table1[[#This Row],[category &amp; sub-category]]))</f>
        <v>plays</v>
      </c>
    </row>
    <row r="244" spans="2:22" ht="15.75" customHeight="1" x14ac:dyDescent="0.25">
      <c r="B244">
        <v>241</v>
      </c>
      <c r="C244" t="s">
        <v>534</v>
      </c>
      <c r="D244" s="3" t="s">
        <v>535</v>
      </c>
      <c r="E244" s="6">
        <v>168500</v>
      </c>
      <c r="F244" s="6">
        <v>171729</v>
      </c>
      <c r="G244" s="17">
        <f>ROUND(Table1[[#This Row],[pledged]]/Table1[[#This Row],[goal]]*100,2)</f>
        <v>101.92</v>
      </c>
      <c r="H244" s="5">
        <f>+Table1[[#This Row],[pledged]]/Table1[[#This Row],[goal]]</f>
        <v>1.0191632047477746</v>
      </c>
      <c r="I244" t="s">
        <v>20</v>
      </c>
      <c r="J244">
        <v>1684</v>
      </c>
      <c r="K244" s="8">
        <f>IFERROR(Table1[[#This Row],[pledged]]/Table1[[#This Row],[backers_count]],"NA")</f>
        <v>101.97684085510689</v>
      </c>
      <c r="L244" t="s">
        <v>26</v>
      </c>
      <c r="M244" t="s">
        <v>27</v>
      </c>
      <c r="N244">
        <v>1397365200</v>
      </c>
      <c r="O244">
        <v>1398229200</v>
      </c>
      <c r="P244" s="11">
        <f>+(((Table1[[#This Row],[launched_at]]/60)/60)/24)+DATE(1970,1,1)</f>
        <v>41742.208333333336</v>
      </c>
      <c r="Q244" s="11">
        <f>+(((Table1[[#This Row],[deadline]]/60)/60)/24)+DATE(1970,1,1)</f>
        <v>41752.208333333336</v>
      </c>
      <c r="R244" t="b">
        <v>0</v>
      </c>
      <c r="S244" t="b">
        <v>1</v>
      </c>
      <c r="T244" t="s">
        <v>68</v>
      </c>
      <c r="U244" t="str">
        <f>+LEFT(Table1[[#This Row],[category &amp; sub-category]],FIND("/",Table1[[#This Row],[category &amp; sub-category]])-1)</f>
        <v>publishing</v>
      </c>
      <c r="V244" t="str">
        <f>+RIGHT(Table1[[#This Row],[category &amp; sub-category]],LEN(Table1[[#This Row],[category &amp; sub-category]])-SEARCH("/",Table1[[#This Row],[category &amp; sub-category]]))</f>
        <v>nonfiction</v>
      </c>
    </row>
    <row r="245" spans="2:22" ht="15.75" customHeight="1" x14ac:dyDescent="0.25">
      <c r="B245">
        <v>242</v>
      </c>
      <c r="C245" t="s">
        <v>536</v>
      </c>
      <c r="D245" s="3" t="s">
        <v>537</v>
      </c>
      <c r="E245" s="6">
        <v>8400</v>
      </c>
      <c r="F245" s="6">
        <v>10729</v>
      </c>
      <c r="G245" s="17">
        <f>ROUND(Table1[[#This Row],[pledged]]/Table1[[#This Row],[goal]]*100,2)</f>
        <v>127.73</v>
      </c>
      <c r="H245" s="5">
        <f>+Table1[[#This Row],[pledged]]/Table1[[#This Row],[goal]]</f>
        <v>1.2772619047619047</v>
      </c>
      <c r="I245" t="s">
        <v>20</v>
      </c>
      <c r="J245">
        <v>250</v>
      </c>
      <c r="K245" s="8">
        <f>IFERROR(Table1[[#This Row],[pledged]]/Table1[[#This Row],[backers_count]],"NA")</f>
        <v>42.915999999999997</v>
      </c>
      <c r="L245" t="s">
        <v>21</v>
      </c>
      <c r="M245" t="s">
        <v>22</v>
      </c>
      <c r="N245">
        <v>1494392400</v>
      </c>
      <c r="O245">
        <v>1495256400</v>
      </c>
      <c r="P245" s="11">
        <f>+(((Table1[[#This Row],[launched_at]]/60)/60)/24)+DATE(1970,1,1)</f>
        <v>42865.208333333328</v>
      </c>
      <c r="Q245" s="11">
        <f>+(((Table1[[#This Row],[deadline]]/60)/60)/24)+DATE(1970,1,1)</f>
        <v>42875.208333333328</v>
      </c>
      <c r="R245" t="b">
        <v>0</v>
      </c>
      <c r="S245" t="b">
        <v>1</v>
      </c>
      <c r="T245" t="s">
        <v>23</v>
      </c>
      <c r="U245" t="str">
        <f>+LEFT(Table1[[#This Row],[category &amp; sub-category]],FIND("/",Table1[[#This Row],[category &amp; sub-category]])-1)</f>
        <v>music</v>
      </c>
      <c r="V245" t="str">
        <f>+RIGHT(Table1[[#This Row],[category &amp; sub-category]],LEN(Table1[[#This Row],[category &amp; sub-category]])-SEARCH("/",Table1[[#This Row],[category &amp; sub-category]]))</f>
        <v>rock</v>
      </c>
    </row>
    <row r="246" spans="2:22" ht="15.75" customHeight="1" x14ac:dyDescent="0.25">
      <c r="B246">
        <v>243</v>
      </c>
      <c r="C246" t="s">
        <v>538</v>
      </c>
      <c r="D246" s="3" t="s">
        <v>539</v>
      </c>
      <c r="E246" s="6">
        <v>2300</v>
      </c>
      <c r="F246" s="6">
        <v>10240</v>
      </c>
      <c r="G246" s="17">
        <f>ROUND(Table1[[#This Row],[pledged]]/Table1[[#This Row],[goal]]*100,2)</f>
        <v>445.22</v>
      </c>
      <c r="H246" s="5">
        <f>+Table1[[#This Row],[pledged]]/Table1[[#This Row],[goal]]</f>
        <v>4.4521739130434783</v>
      </c>
      <c r="I246" t="s">
        <v>20</v>
      </c>
      <c r="J246">
        <v>238</v>
      </c>
      <c r="K246" s="8">
        <f>IFERROR(Table1[[#This Row],[pledged]]/Table1[[#This Row],[backers_count]],"NA")</f>
        <v>43.025210084033617</v>
      </c>
      <c r="L246" t="s">
        <v>21</v>
      </c>
      <c r="M246" t="s">
        <v>22</v>
      </c>
      <c r="N246">
        <v>1520143200</v>
      </c>
      <c r="O246">
        <v>1520402400</v>
      </c>
      <c r="P246" s="11">
        <f>+(((Table1[[#This Row],[launched_at]]/60)/60)/24)+DATE(1970,1,1)</f>
        <v>43163.25</v>
      </c>
      <c r="Q246" s="11">
        <f>+(((Table1[[#This Row],[deadline]]/60)/60)/24)+DATE(1970,1,1)</f>
        <v>43166.25</v>
      </c>
      <c r="R246" t="b">
        <v>0</v>
      </c>
      <c r="S246" t="b">
        <v>0</v>
      </c>
      <c r="T246" t="s">
        <v>33</v>
      </c>
      <c r="U246" t="str">
        <f>+LEFT(Table1[[#This Row],[category &amp; sub-category]],FIND("/",Table1[[#This Row],[category &amp; sub-category]])-1)</f>
        <v>theater</v>
      </c>
      <c r="V246" t="str">
        <f>+RIGHT(Table1[[#This Row],[category &amp; sub-category]],LEN(Table1[[#This Row],[category &amp; sub-category]])-SEARCH("/",Table1[[#This Row],[category &amp; sub-category]]))</f>
        <v>plays</v>
      </c>
    </row>
    <row r="247" spans="2:22" ht="15.75" customHeight="1" x14ac:dyDescent="0.25">
      <c r="B247">
        <v>244</v>
      </c>
      <c r="C247" t="s">
        <v>540</v>
      </c>
      <c r="D247" s="3" t="s">
        <v>541</v>
      </c>
      <c r="E247" s="6">
        <v>700</v>
      </c>
      <c r="F247" s="6">
        <v>3988</v>
      </c>
      <c r="G247" s="17">
        <f>ROUND(Table1[[#This Row],[pledged]]/Table1[[#This Row],[goal]]*100,2)</f>
        <v>569.71</v>
      </c>
      <c r="H247" s="5">
        <f>+Table1[[#This Row],[pledged]]/Table1[[#This Row],[goal]]</f>
        <v>5.6971428571428575</v>
      </c>
      <c r="I247" t="s">
        <v>20</v>
      </c>
      <c r="J247">
        <v>53</v>
      </c>
      <c r="K247" s="8">
        <f>IFERROR(Table1[[#This Row],[pledged]]/Table1[[#This Row],[backers_count]],"NA")</f>
        <v>75.245283018867923</v>
      </c>
      <c r="L247" t="s">
        <v>21</v>
      </c>
      <c r="M247" t="s">
        <v>22</v>
      </c>
      <c r="N247">
        <v>1405314000</v>
      </c>
      <c r="O247">
        <v>1409806800</v>
      </c>
      <c r="P247" s="11">
        <f>+(((Table1[[#This Row],[launched_at]]/60)/60)/24)+DATE(1970,1,1)</f>
        <v>41834.208333333336</v>
      </c>
      <c r="Q247" s="11">
        <f>+(((Table1[[#This Row],[deadline]]/60)/60)/24)+DATE(1970,1,1)</f>
        <v>41886.208333333336</v>
      </c>
      <c r="R247" t="b">
        <v>0</v>
      </c>
      <c r="S247" t="b">
        <v>0</v>
      </c>
      <c r="T247" t="s">
        <v>33</v>
      </c>
      <c r="U247" t="str">
        <f>+LEFT(Table1[[#This Row],[category &amp; sub-category]],FIND("/",Table1[[#This Row],[category &amp; sub-category]])-1)</f>
        <v>theater</v>
      </c>
      <c r="V247" t="str">
        <f>+RIGHT(Table1[[#This Row],[category &amp; sub-category]],LEN(Table1[[#This Row],[category &amp; sub-category]])-SEARCH("/",Table1[[#This Row],[category &amp; sub-category]]))</f>
        <v>plays</v>
      </c>
    </row>
    <row r="248" spans="2:22" ht="15.75" customHeight="1" x14ac:dyDescent="0.25">
      <c r="B248">
        <v>245</v>
      </c>
      <c r="C248" t="s">
        <v>542</v>
      </c>
      <c r="D248" s="3" t="s">
        <v>543</v>
      </c>
      <c r="E248" s="6">
        <v>2900</v>
      </c>
      <c r="F248" s="6">
        <v>14771</v>
      </c>
      <c r="G248" s="17">
        <f>ROUND(Table1[[#This Row],[pledged]]/Table1[[#This Row],[goal]]*100,2)</f>
        <v>509.34</v>
      </c>
      <c r="H248" s="5">
        <f>+Table1[[#This Row],[pledged]]/Table1[[#This Row],[goal]]</f>
        <v>5.0934482758620687</v>
      </c>
      <c r="I248" t="s">
        <v>20</v>
      </c>
      <c r="J248">
        <v>214</v>
      </c>
      <c r="K248" s="8">
        <f>IFERROR(Table1[[#This Row],[pledged]]/Table1[[#This Row],[backers_count]],"NA")</f>
        <v>69.023364485981304</v>
      </c>
      <c r="L248" t="s">
        <v>21</v>
      </c>
      <c r="M248" t="s">
        <v>22</v>
      </c>
      <c r="N248">
        <v>1396846800</v>
      </c>
      <c r="O248">
        <v>1396933200</v>
      </c>
      <c r="P248" s="11">
        <f>+(((Table1[[#This Row],[launched_at]]/60)/60)/24)+DATE(1970,1,1)</f>
        <v>41736.208333333336</v>
      </c>
      <c r="Q248" s="11">
        <f>+(((Table1[[#This Row],[deadline]]/60)/60)/24)+DATE(1970,1,1)</f>
        <v>41737.208333333336</v>
      </c>
      <c r="R248" t="b">
        <v>0</v>
      </c>
      <c r="S248" t="b">
        <v>0</v>
      </c>
      <c r="T248" t="s">
        <v>33</v>
      </c>
      <c r="U248" t="str">
        <f>+LEFT(Table1[[#This Row],[category &amp; sub-category]],FIND("/",Table1[[#This Row],[category &amp; sub-category]])-1)</f>
        <v>theater</v>
      </c>
      <c r="V248" t="str">
        <f>+RIGHT(Table1[[#This Row],[category &amp; sub-category]],LEN(Table1[[#This Row],[category &amp; sub-category]])-SEARCH("/",Table1[[#This Row],[category &amp; sub-category]]))</f>
        <v>plays</v>
      </c>
    </row>
    <row r="249" spans="2:22" ht="15.75" customHeight="1" x14ac:dyDescent="0.25">
      <c r="B249">
        <v>246</v>
      </c>
      <c r="C249" t="s">
        <v>544</v>
      </c>
      <c r="D249" s="3" t="s">
        <v>545</v>
      </c>
      <c r="E249" s="6">
        <v>4500</v>
      </c>
      <c r="F249" s="6">
        <v>14649</v>
      </c>
      <c r="G249" s="17">
        <f>ROUND(Table1[[#This Row],[pledged]]/Table1[[#This Row],[goal]]*100,2)</f>
        <v>325.52999999999997</v>
      </c>
      <c r="H249" s="5">
        <f>+Table1[[#This Row],[pledged]]/Table1[[#This Row],[goal]]</f>
        <v>3.2553333333333332</v>
      </c>
      <c r="I249" t="s">
        <v>20</v>
      </c>
      <c r="J249">
        <v>222</v>
      </c>
      <c r="K249" s="8">
        <f>IFERROR(Table1[[#This Row],[pledged]]/Table1[[#This Row],[backers_count]],"NA")</f>
        <v>65.986486486486484</v>
      </c>
      <c r="L249" t="s">
        <v>21</v>
      </c>
      <c r="M249" t="s">
        <v>22</v>
      </c>
      <c r="N249">
        <v>1375678800</v>
      </c>
      <c r="O249">
        <v>1376024400</v>
      </c>
      <c r="P249" s="11">
        <f>+(((Table1[[#This Row],[launched_at]]/60)/60)/24)+DATE(1970,1,1)</f>
        <v>41491.208333333336</v>
      </c>
      <c r="Q249" s="11">
        <f>+(((Table1[[#This Row],[deadline]]/60)/60)/24)+DATE(1970,1,1)</f>
        <v>41495.208333333336</v>
      </c>
      <c r="R249" t="b">
        <v>0</v>
      </c>
      <c r="S249" t="b">
        <v>0</v>
      </c>
      <c r="T249" t="s">
        <v>28</v>
      </c>
      <c r="U249" t="str">
        <f>+LEFT(Table1[[#This Row],[category &amp; sub-category]],FIND("/",Table1[[#This Row],[category &amp; sub-category]])-1)</f>
        <v>technology</v>
      </c>
      <c r="V249" t="str">
        <f>+RIGHT(Table1[[#This Row],[category &amp; sub-category]],LEN(Table1[[#This Row],[category &amp; sub-category]])-SEARCH("/",Table1[[#This Row],[category &amp; sub-category]]))</f>
        <v>web</v>
      </c>
    </row>
    <row r="250" spans="2:22" ht="15.75" customHeight="1" x14ac:dyDescent="0.25">
      <c r="B250">
        <v>247</v>
      </c>
      <c r="C250" t="s">
        <v>546</v>
      </c>
      <c r="D250" s="3" t="s">
        <v>547</v>
      </c>
      <c r="E250" s="6">
        <v>19800</v>
      </c>
      <c r="F250" s="6">
        <v>184658</v>
      </c>
      <c r="G250" s="17">
        <f>ROUND(Table1[[#This Row],[pledged]]/Table1[[#This Row],[goal]]*100,2)</f>
        <v>932.62</v>
      </c>
      <c r="H250" s="5">
        <f>+Table1[[#This Row],[pledged]]/Table1[[#This Row],[goal]]</f>
        <v>9.3261616161616168</v>
      </c>
      <c r="I250" t="s">
        <v>20</v>
      </c>
      <c r="J250">
        <v>1884</v>
      </c>
      <c r="K250" s="8">
        <f>IFERROR(Table1[[#This Row],[pledged]]/Table1[[#This Row],[backers_count]],"NA")</f>
        <v>98.013800424628457</v>
      </c>
      <c r="L250" t="s">
        <v>21</v>
      </c>
      <c r="M250" t="s">
        <v>22</v>
      </c>
      <c r="N250">
        <v>1482386400</v>
      </c>
      <c r="O250">
        <v>1483682400</v>
      </c>
      <c r="P250" s="11">
        <f>+(((Table1[[#This Row],[launched_at]]/60)/60)/24)+DATE(1970,1,1)</f>
        <v>42726.25</v>
      </c>
      <c r="Q250" s="11">
        <f>+(((Table1[[#This Row],[deadline]]/60)/60)/24)+DATE(1970,1,1)</f>
        <v>42741.25</v>
      </c>
      <c r="R250" t="b">
        <v>0</v>
      </c>
      <c r="S250" t="b">
        <v>1</v>
      </c>
      <c r="T250" t="s">
        <v>119</v>
      </c>
      <c r="U250" t="str">
        <f>+LEFT(Table1[[#This Row],[category &amp; sub-category]],FIND("/",Table1[[#This Row],[category &amp; sub-category]])-1)</f>
        <v>publishing</v>
      </c>
      <c r="V250" t="str">
        <f>+RIGHT(Table1[[#This Row],[category &amp; sub-category]],LEN(Table1[[#This Row],[category &amp; sub-category]])-SEARCH("/",Table1[[#This Row],[category &amp; sub-category]]))</f>
        <v>fiction</v>
      </c>
    </row>
    <row r="251" spans="2:22" ht="15.75" customHeight="1" x14ac:dyDescent="0.25">
      <c r="B251">
        <v>248</v>
      </c>
      <c r="C251" t="s">
        <v>548</v>
      </c>
      <c r="D251" s="3" t="s">
        <v>549</v>
      </c>
      <c r="E251" s="6">
        <v>6200</v>
      </c>
      <c r="F251" s="6">
        <v>13103</v>
      </c>
      <c r="G251" s="17">
        <f>ROUND(Table1[[#This Row],[pledged]]/Table1[[#This Row],[goal]]*100,2)</f>
        <v>211.34</v>
      </c>
      <c r="H251" s="5">
        <f>+Table1[[#This Row],[pledged]]/Table1[[#This Row],[goal]]</f>
        <v>2.1133870967741935</v>
      </c>
      <c r="I251" t="s">
        <v>20</v>
      </c>
      <c r="J251">
        <v>218</v>
      </c>
      <c r="K251" s="8">
        <f>IFERROR(Table1[[#This Row],[pledged]]/Table1[[#This Row],[backers_count]],"NA")</f>
        <v>60.105504587155963</v>
      </c>
      <c r="L251" t="s">
        <v>26</v>
      </c>
      <c r="M251" t="s">
        <v>27</v>
      </c>
      <c r="N251">
        <v>1420005600</v>
      </c>
      <c r="O251">
        <v>1420437600</v>
      </c>
      <c r="P251" s="11">
        <f>+(((Table1[[#This Row],[launched_at]]/60)/60)/24)+DATE(1970,1,1)</f>
        <v>42004.25</v>
      </c>
      <c r="Q251" s="11">
        <f>+(((Table1[[#This Row],[deadline]]/60)/60)/24)+DATE(1970,1,1)</f>
        <v>42009.25</v>
      </c>
      <c r="R251" t="b">
        <v>0</v>
      </c>
      <c r="S251" t="b">
        <v>0</v>
      </c>
      <c r="T251" t="s">
        <v>292</v>
      </c>
      <c r="U251" t="str">
        <f>+LEFT(Table1[[#This Row],[category &amp; sub-category]],FIND("/",Table1[[#This Row],[category &amp; sub-category]])-1)</f>
        <v>games</v>
      </c>
      <c r="V251" t="str">
        <f>+RIGHT(Table1[[#This Row],[category &amp; sub-category]],LEN(Table1[[#This Row],[category &amp; sub-category]])-SEARCH("/",Table1[[#This Row],[category &amp; sub-category]]))</f>
        <v>mobile games</v>
      </c>
    </row>
    <row r="252" spans="2:22" ht="15.75" customHeight="1" x14ac:dyDescent="0.25">
      <c r="B252">
        <v>249</v>
      </c>
      <c r="C252" t="s">
        <v>550</v>
      </c>
      <c r="D252" s="3" t="s">
        <v>551</v>
      </c>
      <c r="E252" s="6">
        <v>61500</v>
      </c>
      <c r="F252" s="6">
        <v>168095</v>
      </c>
      <c r="G252" s="17">
        <f>ROUND(Table1[[#This Row],[pledged]]/Table1[[#This Row],[goal]]*100,2)</f>
        <v>273.33</v>
      </c>
      <c r="H252" s="5">
        <f>+Table1[[#This Row],[pledged]]/Table1[[#This Row],[goal]]</f>
        <v>2.7332520325203253</v>
      </c>
      <c r="I252" t="s">
        <v>20</v>
      </c>
      <c r="J252">
        <v>6465</v>
      </c>
      <c r="K252" s="8">
        <f>IFERROR(Table1[[#This Row],[pledged]]/Table1[[#This Row],[backers_count]],"NA")</f>
        <v>26.000773395204948</v>
      </c>
      <c r="L252" t="s">
        <v>21</v>
      </c>
      <c r="M252" t="s">
        <v>22</v>
      </c>
      <c r="N252">
        <v>1420178400</v>
      </c>
      <c r="O252">
        <v>1420783200</v>
      </c>
      <c r="P252" s="11">
        <f>+(((Table1[[#This Row],[launched_at]]/60)/60)/24)+DATE(1970,1,1)</f>
        <v>42006.25</v>
      </c>
      <c r="Q252" s="11">
        <f>+(((Table1[[#This Row],[deadline]]/60)/60)/24)+DATE(1970,1,1)</f>
        <v>42013.25</v>
      </c>
      <c r="R252" t="b">
        <v>0</v>
      </c>
      <c r="S252" t="b">
        <v>0</v>
      </c>
      <c r="T252" t="s">
        <v>206</v>
      </c>
      <c r="U252" t="str">
        <f>+LEFT(Table1[[#This Row],[category &amp; sub-category]],FIND("/",Table1[[#This Row],[category &amp; sub-category]])-1)</f>
        <v>publishing</v>
      </c>
      <c r="V252" t="str">
        <f>+RIGHT(Table1[[#This Row],[category &amp; sub-category]],LEN(Table1[[#This Row],[category &amp; sub-category]])-SEARCH("/",Table1[[#This Row],[category &amp; sub-category]]))</f>
        <v>translations</v>
      </c>
    </row>
    <row r="253" spans="2:22" ht="15.75" customHeight="1" x14ac:dyDescent="0.25">
      <c r="B253">
        <v>250</v>
      </c>
      <c r="C253" t="s">
        <v>552</v>
      </c>
      <c r="D253" s="3" t="s">
        <v>553</v>
      </c>
      <c r="E253" s="6">
        <v>100</v>
      </c>
      <c r="F253" s="6">
        <v>3</v>
      </c>
      <c r="G253" s="17">
        <f>ROUND(Table1[[#This Row],[pledged]]/Table1[[#This Row],[goal]]*100,2)</f>
        <v>3</v>
      </c>
      <c r="H253" s="5">
        <f>+Table1[[#This Row],[pledged]]/Table1[[#This Row],[goal]]</f>
        <v>0.03</v>
      </c>
      <c r="I253" t="s">
        <v>14</v>
      </c>
      <c r="J253">
        <v>1</v>
      </c>
      <c r="K253" s="8">
        <f>IFERROR(Table1[[#This Row],[pledged]]/Table1[[#This Row],[backers_count]],"NA")</f>
        <v>3</v>
      </c>
      <c r="L253" t="s">
        <v>21</v>
      </c>
      <c r="M253" t="s">
        <v>22</v>
      </c>
      <c r="N253">
        <v>1264399200</v>
      </c>
      <c r="O253">
        <v>1267423200</v>
      </c>
      <c r="P253" s="11">
        <f>+(((Table1[[#This Row],[launched_at]]/60)/60)/24)+DATE(1970,1,1)</f>
        <v>40203.25</v>
      </c>
      <c r="Q253" s="11">
        <f>+(((Table1[[#This Row],[deadline]]/60)/60)/24)+DATE(1970,1,1)</f>
        <v>40238.25</v>
      </c>
      <c r="R253" t="b">
        <v>0</v>
      </c>
      <c r="S253" t="b">
        <v>0</v>
      </c>
      <c r="T253" t="s">
        <v>23</v>
      </c>
      <c r="U253" t="str">
        <f>+LEFT(Table1[[#This Row],[category &amp; sub-category]],FIND("/",Table1[[#This Row],[category &amp; sub-category]])-1)</f>
        <v>music</v>
      </c>
      <c r="V253" t="str">
        <f>+RIGHT(Table1[[#This Row],[category &amp; sub-category]],LEN(Table1[[#This Row],[category &amp; sub-category]])-SEARCH("/",Table1[[#This Row],[category &amp; sub-category]]))</f>
        <v>rock</v>
      </c>
    </row>
    <row r="254" spans="2:22" ht="15.75" customHeight="1" x14ac:dyDescent="0.25">
      <c r="B254">
        <v>251</v>
      </c>
      <c r="C254" t="s">
        <v>554</v>
      </c>
      <c r="D254" s="3" t="s">
        <v>555</v>
      </c>
      <c r="E254" s="6">
        <v>7100</v>
      </c>
      <c r="F254" s="6">
        <v>3840</v>
      </c>
      <c r="G254" s="17">
        <f>ROUND(Table1[[#This Row],[pledged]]/Table1[[#This Row],[goal]]*100,2)</f>
        <v>54.08</v>
      </c>
      <c r="H254" s="5">
        <f>+Table1[[#This Row],[pledged]]/Table1[[#This Row],[goal]]</f>
        <v>0.54084507042253516</v>
      </c>
      <c r="I254" t="s">
        <v>14</v>
      </c>
      <c r="J254">
        <v>101</v>
      </c>
      <c r="K254" s="8">
        <f>IFERROR(Table1[[#This Row],[pledged]]/Table1[[#This Row],[backers_count]],"NA")</f>
        <v>38.019801980198018</v>
      </c>
      <c r="L254" t="s">
        <v>21</v>
      </c>
      <c r="M254" t="s">
        <v>22</v>
      </c>
      <c r="N254">
        <v>1355032800</v>
      </c>
      <c r="O254">
        <v>1355205600</v>
      </c>
      <c r="P254" s="11">
        <f>+(((Table1[[#This Row],[launched_at]]/60)/60)/24)+DATE(1970,1,1)</f>
        <v>41252.25</v>
      </c>
      <c r="Q254" s="11">
        <f>+(((Table1[[#This Row],[deadline]]/60)/60)/24)+DATE(1970,1,1)</f>
        <v>41254.25</v>
      </c>
      <c r="R254" t="b">
        <v>0</v>
      </c>
      <c r="S254" t="b">
        <v>0</v>
      </c>
      <c r="T254" t="s">
        <v>33</v>
      </c>
      <c r="U254" t="str">
        <f>+LEFT(Table1[[#This Row],[category &amp; sub-category]],FIND("/",Table1[[#This Row],[category &amp; sub-category]])-1)</f>
        <v>theater</v>
      </c>
      <c r="V254" t="str">
        <f>+RIGHT(Table1[[#This Row],[category &amp; sub-category]],LEN(Table1[[#This Row],[category &amp; sub-category]])-SEARCH("/",Table1[[#This Row],[category &amp; sub-category]]))</f>
        <v>plays</v>
      </c>
    </row>
    <row r="255" spans="2:22" ht="15.75" customHeight="1" x14ac:dyDescent="0.25">
      <c r="B255">
        <v>252</v>
      </c>
      <c r="C255" t="s">
        <v>556</v>
      </c>
      <c r="D255" s="3" t="s">
        <v>557</v>
      </c>
      <c r="E255" s="6">
        <v>1000</v>
      </c>
      <c r="F255" s="6">
        <v>6263</v>
      </c>
      <c r="G255" s="17">
        <f>ROUND(Table1[[#This Row],[pledged]]/Table1[[#This Row],[goal]]*100,2)</f>
        <v>626.29999999999995</v>
      </c>
      <c r="H255" s="5">
        <f>+Table1[[#This Row],[pledged]]/Table1[[#This Row],[goal]]</f>
        <v>6.2629999999999999</v>
      </c>
      <c r="I255" t="s">
        <v>20</v>
      </c>
      <c r="J255">
        <v>59</v>
      </c>
      <c r="K255" s="8">
        <f>IFERROR(Table1[[#This Row],[pledged]]/Table1[[#This Row],[backers_count]],"NA")</f>
        <v>106.15254237288136</v>
      </c>
      <c r="L255" t="s">
        <v>21</v>
      </c>
      <c r="M255" t="s">
        <v>22</v>
      </c>
      <c r="N255">
        <v>1382677200</v>
      </c>
      <c r="O255">
        <v>1383109200</v>
      </c>
      <c r="P255" s="11">
        <f>+(((Table1[[#This Row],[launched_at]]/60)/60)/24)+DATE(1970,1,1)</f>
        <v>41572.208333333336</v>
      </c>
      <c r="Q255" s="11">
        <f>+(((Table1[[#This Row],[deadline]]/60)/60)/24)+DATE(1970,1,1)</f>
        <v>41577.208333333336</v>
      </c>
      <c r="R255" t="b">
        <v>0</v>
      </c>
      <c r="S255" t="b">
        <v>0</v>
      </c>
      <c r="T255" t="s">
        <v>33</v>
      </c>
      <c r="U255" t="str">
        <f>+LEFT(Table1[[#This Row],[category &amp; sub-category]],FIND("/",Table1[[#This Row],[category &amp; sub-category]])-1)</f>
        <v>theater</v>
      </c>
      <c r="V255" t="str">
        <f>+RIGHT(Table1[[#This Row],[category &amp; sub-category]],LEN(Table1[[#This Row],[category &amp; sub-category]])-SEARCH("/",Table1[[#This Row],[category &amp; sub-category]]))</f>
        <v>plays</v>
      </c>
    </row>
    <row r="256" spans="2:22" ht="15.75" customHeight="1" x14ac:dyDescent="0.25">
      <c r="B256">
        <v>253</v>
      </c>
      <c r="C256" t="s">
        <v>558</v>
      </c>
      <c r="D256" s="3" t="s">
        <v>559</v>
      </c>
      <c r="E256" s="6">
        <v>121500</v>
      </c>
      <c r="F256" s="6">
        <v>108161</v>
      </c>
      <c r="G256" s="17">
        <f>ROUND(Table1[[#This Row],[pledged]]/Table1[[#This Row],[goal]]*100,2)</f>
        <v>89.02</v>
      </c>
      <c r="H256" s="5">
        <f>+Table1[[#This Row],[pledged]]/Table1[[#This Row],[goal]]</f>
        <v>0.8902139917695473</v>
      </c>
      <c r="I256" t="s">
        <v>14</v>
      </c>
      <c r="J256">
        <v>1335</v>
      </c>
      <c r="K256" s="8">
        <f>IFERROR(Table1[[#This Row],[pledged]]/Table1[[#This Row],[backers_count]],"NA")</f>
        <v>81.019475655430711</v>
      </c>
      <c r="L256" t="s">
        <v>15</v>
      </c>
      <c r="M256" t="s">
        <v>16</v>
      </c>
      <c r="N256">
        <v>1302238800</v>
      </c>
      <c r="O256">
        <v>1303275600</v>
      </c>
      <c r="P256" s="11">
        <f>+(((Table1[[#This Row],[launched_at]]/60)/60)/24)+DATE(1970,1,1)</f>
        <v>40641.208333333336</v>
      </c>
      <c r="Q256" s="11">
        <f>+(((Table1[[#This Row],[deadline]]/60)/60)/24)+DATE(1970,1,1)</f>
        <v>40653.208333333336</v>
      </c>
      <c r="R256" t="b">
        <v>0</v>
      </c>
      <c r="S256" t="b">
        <v>0</v>
      </c>
      <c r="T256" t="s">
        <v>53</v>
      </c>
      <c r="U256" t="str">
        <f>+LEFT(Table1[[#This Row],[category &amp; sub-category]],FIND("/",Table1[[#This Row],[category &amp; sub-category]])-1)</f>
        <v>film &amp; video</v>
      </c>
      <c r="V256" t="str">
        <f>+RIGHT(Table1[[#This Row],[category &amp; sub-category]],LEN(Table1[[#This Row],[category &amp; sub-category]])-SEARCH("/",Table1[[#This Row],[category &amp; sub-category]]))</f>
        <v>drama</v>
      </c>
    </row>
    <row r="257" spans="2:22" ht="15.75" customHeight="1" x14ac:dyDescent="0.25">
      <c r="B257">
        <v>254</v>
      </c>
      <c r="C257" t="s">
        <v>560</v>
      </c>
      <c r="D257" s="3" t="s">
        <v>561</v>
      </c>
      <c r="E257" s="6">
        <v>4600</v>
      </c>
      <c r="F257" s="6">
        <v>8505</v>
      </c>
      <c r="G257" s="17">
        <f>ROUND(Table1[[#This Row],[pledged]]/Table1[[#This Row],[goal]]*100,2)</f>
        <v>184.89</v>
      </c>
      <c r="H257" s="5">
        <f>+Table1[[#This Row],[pledged]]/Table1[[#This Row],[goal]]</f>
        <v>1.8489130434782608</v>
      </c>
      <c r="I257" t="s">
        <v>20</v>
      </c>
      <c r="J257">
        <v>88</v>
      </c>
      <c r="K257" s="8">
        <f>IFERROR(Table1[[#This Row],[pledged]]/Table1[[#This Row],[backers_count]],"NA")</f>
        <v>96.647727272727266</v>
      </c>
      <c r="L257" t="s">
        <v>21</v>
      </c>
      <c r="M257" t="s">
        <v>22</v>
      </c>
      <c r="N257">
        <v>1487656800</v>
      </c>
      <c r="O257">
        <v>1487829600</v>
      </c>
      <c r="P257" s="11">
        <f>+(((Table1[[#This Row],[launched_at]]/60)/60)/24)+DATE(1970,1,1)</f>
        <v>42787.25</v>
      </c>
      <c r="Q257" s="11">
        <f>+(((Table1[[#This Row],[deadline]]/60)/60)/24)+DATE(1970,1,1)</f>
        <v>42789.25</v>
      </c>
      <c r="R257" t="b">
        <v>0</v>
      </c>
      <c r="S257" t="b">
        <v>0</v>
      </c>
      <c r="T257" t="s">
        <v>68</v>
      </c>
      <c r="U257" t="str">
        <f>+LEFT(Table1[[#This Row],[category &amp; sub-category]],FIND("/",Table1[[#This Row],[category &amp; sub-category]])-1)</f>
        <v>publishing</v>
      </c>
      <c r="V257" t="str">
        <f>+RIGHT(Table1[[#This Row],[category &amp; sub-category]],LEN(Table1[[#This Row],[category &amp; sub-category]])-SEARCH("/",Table1[[#This Row],[category &amp; sub-category]]))</f>
        <v>nonfiction</v>
      </c>
    </row>
    <row r="258" spans="2:22" ht="15.75" customHeight="1" x14ac:dyDescent="0.25">
      <c r="B258">
        <v>255</v>
      </c>
      <c r="C258" t="s">
        <v>562</v>
      </c>
      <c r="D258" s="3" t="s">
        <v>563</v>
      </c>
      <c r="E258" s="6">
        <v>80500</v>
      </c>
      <c r="F258" s="6">
        <v>96735</v>
      </c>
      <c r="G258" s="17">
        <f>ROUND(Table1[[#This Row],[pledged]]/Table1[[#This Row],[goal]]*100,2)</f>
        <v>120.17</v>
      </c>
      <c r="H258" s="5">
        <f>+Table1[[#This Row],[pledged]]/Table1[[#This Row],[goal]]</f>
        <v>1.2016770186335404</v>
      </c>
      <c r="I258" t="s">
        <v>20</v>
      </c>
      <c r="J258">
        <v>1697</v>
      </c>
      <c r="K258" s="8">
        <f>IFERROR(Table1[[#This Row],[pledged]]/Table1[[#This Row],[backers_count]],"NA")</f>
        <v>57.003535651149086</v>
      </c>
      <c r="L258" t="s">
        <v>21</v>
      </c>
      <c r="M258" t="s">
        <v>22</v>
      </c>
      <c r="N258">
        <v>1297836000</v>
      </c>
      <c r="O258">
        <v>1298268000</v>
      </c>
      <c r="P258" s="11">
        <f>+(((Table1[[#This Row],[launched_at]]/60)/60)/24)+DATE(1970,1,1)</f>
        <v>40590.25</v>
      </c>
      <c r="Q258" s="11">
        <f>+(((Table1[[#This Row],[deadline]]/60)/60)/24)+DATE(1970,1,1)</f>
        <v>40595.25</v>
      </c>
      <c r="R258" t="b">
        <v>0</v>
      </c>
      <c r="S258" t="b">
        <v>1</v>
      </c>
      <c r="T258" t="s">
        <v>23</v>
      </c>
      <c r="U258" t="str">
        <f>+LEFT(Table1[[#This Row],[category &amp; sub-category]],FIND("/",Table1[[#This Row],[category &amp; sub-category]])-1)</f>
        <v>music</v>
      </c>
      <c r="V258" t="str">
        <f>+RIGHT(Table1[[#This Row],[category &amp; sub-category]],LEN(Table1[[#This Row],[category &amp; sub-category]])-SEARCH("/",Table1[[#This Row],[category &amp; sub-category]]))</f>
        <v>rock</v>
      </c>
    </row>
    <row r="259" spans="2:22" ht="15.75" customHeight="1" x14ac:dyDescent="0.25">
      <c r="B259">
        <v>256</v>
      </c>
      <c r="C259" t="s">
        <v>564</v>
      </c>
      <c r="D259" s="3" t="s">
        <v>565</v>
      </c>
      <c r="E259" s="6">
        <v>4100</v>
      </c>
      <c r="F259" s="6">
        <v>959</v>
      </c>
      <c r="G259" s="17">
        <f>ROUND(Table1[[#This Row],[pledged]]/Table1[[#This Row],[goal]]*100,2)</f>
        <v>23.39</v>
      </c>
      <c r="H259" s="5">
        <f>+Table1[[#This Row],[pledged]]/Table1[[#This Row],[goal]]</f>
        <v>0.23390243902439026</v>
      </c>
      <c r="I259" t="s">
        <v>14</v>
      </c>
      <c r="J259">
        <v>15</v>
      </c>
      <c r="K259" s="8">
        <f>IFERROR(Table1[[#This Row],[pledged]]/Table1[[#This Row],[backers_count]],"NA")</f>
        <v>63.93333333333333</v>
      </c>
      <c r="L259" t="s">
        <v>40</v>
      </c>
      <c r="M259" t="s">
        <v>41</v>
      </c>
      <c r="N259">
        <v>1453615200</v>
      </c>
      <c r="O259">
        <v>1456812000</v>
      </c>
      <c r="P259" s="11">
        <f>+(((Table1[[#This Row],[launched_at]]/60)/60)/24)+DATE(1970,1,1)</f>
        <v>42393.25</v>
      </c>
      <c r="Q259" s="11">
        <f>+(((Table1[[#This Row],[deadline]]/60)/60)/24)+DATE(1970,1,1)</f>
        <v>42430.25</v>
      </c>
      <c r="R259" t="b">
        <v>0</v>
      </c>
      <c r="S259" t="b">
        <v>0</v>
      </c>
      <c r="T259" t="s">
        <v>23</v>
      </c>
      <c r="U259" t="str">
        <f>+LEFT(Table1[[#This Row],[category &amp; sub-category]],FIND("/",Table1[[#This Row],[category &amp; sub-category]])-1)</f>
        <v>music</v>
      </c>
      <c r="V259" t="str">
        <f>+RIGHT(Table1[[#This Row],[category &amp; sub-category]],LEN(Table1[[#This Row],[category &amp; sub-category]])-SEARCH("/",Table1[[#This Row],[category &amp; sub-category]]))</f>
        <v>rock</v>
      </c>
    </row>
    <row r="260" spans="2:22" ht="15.75" customHeight="1" x14ac:dyDescent="0.25">
      <c r="B260">
        <v>257</v>
      </c>
      <c r="C260" t="s">
        <v>566</v>
      </c>
      <c r="D260" s="3" t="s">
        <v>567</v>
      </c>
      <c r="E260" s="6">
        <v>5700</v>
      </c>
      <c r="F260" s="6">
        <v>8322</v>
      </c>
      <c r="G260" s="17">
        <f>ROUND(Table1[[#This Row],[pledged]]/Table1[[#This Row],[goal]]*100,2)</f>
        <v>146</v>
      </c>
      <c r="H260" s="5">
        <f>+Table1[[#This Row],[pledged]]/Table1[[#This Row],[goal]]</f>
        <v>1.46</v>
      </c>
      <c r="I260" t="s">
        <v>20</v>
      </c>
      <c r="J260">
        <v>92</v>
      </c>
      <c r="K260" s="8">
        <f>IFERROR(Table1[[#This Row],[pledged]]/Table1[[#This Row],[backers_count]],"NA")</f>
        <v>90.456521739130437</v>
      </c>
      <c r="L260" t="s">
        <v>21</v>
      </c>
      <c r="M260" t="s">
        <v>22</v>
      </c>
      <c r="N260">
        <v>1362463200</v>
      </c>
      <c r="O260">
        <v>1363669200</v>
      </c>
      <c r="P260" s="11">
        <f>+(((Table1[[#This Row],[launched_at]]/60)/60)/24)+DATE(1970,1,1)</f>
        <v>41338.25</v>
      </c>
      <c r="Q260" s="11">
        <f>+(((Table1[[#This Row],[deadline]]/60)/60)/24)+DATE(1970,1,1)</f>
        <v>41352.208333333336</v>
      </c>
      <c r="R260" t="b">
        <v>0</v>
      </c>
      <c r="S260" t="b">
        <v>0</v>
      </c>
      <c r="T260" t="s">
        <v>33</v>
      </c>
      <c r="U260" t="str">
        <f>+LEFT(Table1[[#This Row],[category &amp; sub-category]],FIND("/",Table1[[#This Row],[category &amp; sub-category]])-1)</f>
        <v>theater</v>
      </c>
      <c r="V260" t="str">
        <f>+RIGHT(Table1[[#This Row],[category &amp; sub-category]],LEN(Table1[[#This Row],[category &amp; sub-category]])-SEARCH("/",Table1[[#This Row],[category &amp; sub-category]]))</f>
        <v>plays</v>
      </c>
    </row>
    <row r="261" spans="2:22" ht="15.75" customHeight="1" x14ac:dyDescent="0.25">
      <c r="B261">
        <v>258</v>
      </c>
      <c r="C261" t="s">
        <v>568</v>
      </c>
      <c r="D261" s="3" t="s">
        <v>569</v>
      </c>
      <c r="E261" s="6">
        <v>5000</v>
      </c>
      <c r="F261" s="6">
        <v>13424</v>
      </c>
      <c r="G261" s="17">
        <f>ROUND(Table1[[#This Row],[pledged]]/Table1[[#This Row],[goal]]*100,2)</f>
        <v>268.48</v>
      </c>
      <c r="H261" s="5">
        <f>+Table1[[#This Row],[pledged]]/Table1[[#This Row],[goal]]</f>
        <v>2.6848000000000001</v>
      </c>
      <c r="I261" t="s">
        <v>20</v>
      </c>
      <c r="J261">
        <v>186</v>
      </c>
      <c r="K261" s="8">
        <f>IFERROR(Table1[[#This Row],[pledged]]/Table1[[#This Row],[backers_count]],"NA")</f>
        <v>72.172043010752688</v>
      </c>
      <c r="L261" t="s">
        <v>21</v>
      </c>
      <c r="M261" t="s">
        <v>22</v>
      </c>
      <c r="N261">
        <v>1481176800</v>
      </c>
      <c r="O261">
        <v>1482904800</v>
      </c>
      <c r="P261" s="11">
        <f>+(((Table1[[#This Row],[launched_at]]/60)/60)/24)+DATE(1970,1,1)</f>
        <v>42712.25</v>
      </c>
      <c r="Q261" s="11">
        <f>+(((Table1[[#This Row],[deadline]]/60)/60)/24)+DATE(1970,1,1)</f>
        <v>42732.25</v>
      </c>
      <c r="R261" t="b">
        <v>0</v>
      </c>
      <c r="S261" t="b">
        <v>1</v>
      </c>
      <c r="T261" t="s">
        <v>33</v>
      </c>
      <c r="U261" t="str">
        <f>+LEFT(Table1[[#This Row],[category &amp; sub-category]],FIND("/",Table1[[#This Row],[category &amp; sub-category]])-1)</f>
        <v>theater</v>
      </c>
      <c r="V261" t="str">
        <f>+RIGHT(Table1[[#This Row],[category &amp; sub-category]],LEN(Table1[[#This Row],[category &amp; sub-category]])-SEARCH("/",Table1[[#This Row],[category &amp; sub-category]]))</f>
        <v>plays</v>
      </c>
    </row>
    <row r="262" spans="2:22" ht="15.75" customHeight="1" x14ac:dyDescent="0.25">
      <c r="B262">
        <v>259</v>
      </c>
      <c r="C262" t="s">
        <v>570</v>
      </c>
      <c r="D262" s="3" t="s">
        <v>571</v>
      </c>
      <c r="E262" s="6">
        <v>1800</v>
      </c>
      <c r="F262" s="6">
        <v>10755</v>
      </c>
      <c r="G262" s="17">
        <f>ROUND(Table1[[#This Row],[pledged]]/Table1[[#This Row],[goal]]*100,2)</f>
        <v>597.5</v>
      </c>
      <c r="H262" s="5">
        <f>+Table1[[#This Row],[pledged]]/Table1[[#This Row],[goal]]</f>
        <v>5.9749999999999996</v>
      </c>
      <c r="I262" t="s">
        <v>20</v>
      </c>
      <c r="J262">
        <v>138</v>
      </c>
      <c r="K262" s="8">
        <f>IFERROR(Table1[[#This Row],[pledged]]/Table1[[#This Row],[backers_count]],"NA")</f>
        <v>77.934782608695656</v>
      </c>
      <c r="L262" t="s">
        <v>21</v>
      </c>
      <c r="M262" t="s">
        <v>22</v>
      </c>
      <c r="N262">
        <v>1354946400</v>
      </c>
      <c r="O262">
        <v>1356588000</v>
      </c>
      <c r="P262" s="11">
        <f>+(((Table1[[#This Row],[launched_at]]/60)/60)/24)+DATE(1970,1,1)</f>
        <v>41251.25</v>
      </c>
      <c r="Q262" s="11">
        <f>+(((Table1[[#This Row],[deadline]]/60)/60)/24)+DATE(1970,1,1)</f>
        <v>41270.25</v>
      </c>
      <c r="R262" t="b">
        <v>1</v>
      </c>
      <c r="S262" t="b">
        <v>0</v>
      </c>
      <c r="T262" t="s">
        <v>122</v>
      </c>
      <c r="U262" t="str">
        <f>+LEFT(Table1[[#This Row],[category &amp; sub-category]],FIND("/",Table1[[#This Row],[category &amp; sub-category]])-1)</f>
        <v>photography</v>
      </c>
      <c r="V262" t="str">
        <f>+RIGHT(Table1[[#This Row],[category &amp; sub-category]],LEN(Table1[[#This Row],[category &amp; sub-category]])-SEARCH("/",Table1[[#This Row],[category &amp; sub-category]]))</f>
        <v>photography books</v>
      </c>
    </row>
    <row r="263" spans="2:22" ht="15.75" customHeight="1" x14ac:dyDescent="0.25">
      <c r="B263">
        <v>260</v>
      </c>
      <c r="C263" t="s">
        <v>572</v>
      </c>
      <c r="D263" s="3" t="s">
        <v>573</v>
      </c>
      <c r="E263" s="6">
        <v>6300</v>
      </c>
      <c r="F263" s="6">
        <v>9935</v>
      </c>
      <c r="G263" s="17">
        <f>ROUND(Table1[[#This Row],[pledged]]/Table1[[#This Row],[goal]]*100,2)</f>
        <v>157.69999999999999</v>
      </c>
      <c r="H263" s="5">
        <f>+Table1[[#This Row],[pledged]]/Table1[[#This Row],[goal]]</f>
        <v>1.5769841269841269</v>
      </c>
      <c r="I263" t="s">
        <v>20</v>
      </c>
      <c r="J263">
        <v>261</v>
      </c>
      <c r="K263" s="8">
        <f>IFERROR(Table1[[#This Row],[pledged]]/Table1[[#This Row],[backers_count]],"NA")</f>
        <v>38.065134099616856</v>
      </c>
      <c r="L263" t="s">
        <v>21</v>
      </c>
      <c r="M263" t="s">
        <v>22</v>
      </c>
      <c r="N263">
        <v>1348808400</v>
      </c>
      <c r="O263">
        <v>1349845200</v>
      </c>
      <c r="P263" s="11">
        <f>+(((Table1[[#This Row],[launched_at]]/60)/60)/24)+DATE(1970,1,1)</f>
        <v>41180.208333333336</v>
      </c>
      <c r="Q263" s="11">
        <f>+(((Table1[[#This Row],[deadline]]/60)/60)/24)+DATE(1970,1,1)</f>
        <v>41192.208333333336</v>
      </c>
      <c r="R263" t="b">
        <v>0</v>
      </c>
      <c r="S263" t="b">
        <v>0</v>
      </c>
      <c r="T263" t="s">
        <v>23</v>
      </c>
      <c r="U263" t="str">
        <f>+LEFT(Table1[[#This Row],[category &amp; sub-category]],FIND("/",Table1[[#This Row],[category &amp; sub-category]])-1)</f>
        <v>music</v>
      </c>
      <c r="V263" t="str">
        <f>+RIGHT(Table1[[#This Row],[category &amp; sub-category]],LEN(Table1[[#This Row],[category &amp; sub-category]])-SEARCH("/",Table1[[#This Row],[category &amp; sub-category]]))</f>
        <v>rock</v>
      </c>
    </row>
    <row r="264" spans="2:22" ht="15.75" customHeight="1" x14ac:dyDescent="0.25">
      <c r="B264">
        <v>261</v>
      </c>
      <c r="C264" t="s">
        <v>574</v>
      </c>
      <c r="D264" s="3" t="s">
        <v>575</v>
      </c>
      <c r="E264" s="6">
        <v>84300</v>
      </c>
      <c r="F264" s="6">
        <v>26303</v>
      </c>
      <c r="G264" s="17">
        <f>ROUND(Table1[[#This Row],[pledged]]/Table1[[#This Row],[goal]]*100,2)</f>
        <v>31.2</v>
      </c>
      <c r="H264" s="5">
        <f>+Table1[[#This Row],[pledged]]/Table1[[#This Row],[goal]]</f>
        <v>0.31201660735468567</v>
      </c>
      <c r="I264" t="s">
        <v>14</v>
      </c>
      <c r="J264">
        <v>454</v>
      </c>
      <c r="K264" s="8">
        <f>IFERROR(Table1[[#This Row],[pledged]]/Table1[[#This Row],[backers_count]],"NA")</f>
        <v>57.936123348017624</v>
      </c>
      <c r="L264" t="s">
        <v>21</v>
      </c>
      <c r="M264" t="s">
        <v>22</v>
      </c>
      <c r="N264">
        <v>1282712400</v>
      </c>
      <c r="O264">
        <v>1283058000</v>
      </c>
      <c r="P264" s="11">
        <f>+(((Table1[[#This Row],[launched_at]]/60)/60)/24)+DATE(1970,1,1)</f>
        <v>40415.208333333336</v>
      </c>
      <c r="Q264" s="11">
        <f>+(((Table1[[#This Row],[deadline]]/60)/60)/24)+DATE(1970,1,1)</f>
        <v>40419.208333333336</v>
      </c>
      <c r="R264" t="b">
        <v>0</v>
      </c>
      <c r="S264" t="b">
        <v>1</v>
      </c>
      <c r="T264" t="s">
        <v>23</v>
      </c>
      <c r="U264" t="str">
        <f>+LEFT(Table1[[#This Row],[category &amp; sub-category]],FIND("/",Table1[[#This Row],[category &amp; sub-category]])-1)</f>
        <v>music</v>
      </c>
      <c r="V264" t="str">
        <f>+RIGHT(Table1[[#This Row],[category &amp; sub-category]],LEN(Table1[[#This Row],[category &amp; sub-category]])-SEARCH("/",Table1[[#This Row],[category &amp; sub-category]]))</f>
        <v>rock</v>
      </c>
    </row>
    <row r="265" spans="2:22" ht="15.75" customHeight="1" x14ac:dyDescent="0.25">
      <c r="B265">
        <v>262</v>
      </c>
      <c r="C265" t="s">
        <v>576</v>
      </c>
      <c r="D265" s="3" t="s">
        <v>577</v>
      </c>
      <c r="E265" s="6">
        <v>1700</v>
      </c>
      <c r="F265" s="6">
        <v>5328</v>
      </c>
      <c r="G265" s="17">
        <f>ROUND(Table1[[#This Row],[pledged]]/Table1[[#This Row],[goal]]*100,2)</f>
        <v>313.41000000000003</v>
      </c>
      <c r="H265" s="5">
        <f>+Table1[[#This Row],[pledged]]/Table1[[#This Row],[goal]]</f>
        <v>3.1341176470588237</v>
      </c>
      <c r="I265" t="s">
        <v>20</v>
      </c>
      <c r="J265">
        <v>107</v>
      </c>
      <c r="K265" s="8">
        <f>IFERROR(Table1[[#This Row],[pledged]]/Table1[[#This Row],[backers_count]],"NA")</f>
        <v>49.794392523364486</v>
      </c>
      <c r="L265" t="s">
        <v>21</v>
      </c>
      <c r="M265" t="s">
        <v>22</v>
      </c>
      <c r="N265">
        <v>1301979600</v>
      </c>
      <c r="O265">
        <v>1304226000</v>
      </c>
      <c r="P265" s="11">
        <f>+(((Table1[[#This Row],[launched_at]]/60)/60)/24)+DATE(1970,1,1)</f>
        <v>40638.208333333336</v>
      </c>
      <c r="Q265" s="11">
        <f>+(((Table1[[#This Row],[deadline]]/60)/60)/24)+DATE(1970,1,1)</f>
        <v>40664.208333333336</v>
      </c>
      <c r="R265" t="b">
        <v>0</v>
      </c>
      <c r="S265" t="b">
        <v>1</v>
      </c>
      <c r="T265" t="s">
        <v>60</v>
      </c>
      <c r="U265" t="str">
        <f>+LEFT(Table1[[#This Row],[category &amp; sub-category]],FIND("/",Table1[[#This Row],[category &amp; sub-category]])-1)</f>
        <v>music</v>
      </c>
      <c r="V265" t="str">
        <f>+RIGHT(Table1[[#This Row],[category &amp; sub-category]],LEN(Table1[[#This Row],[category &amp; sub-category]])-SEARCH("/",Table1[[#This Row],[category &amp; sub-category]]))</f>
        <v>indie rock</v>
      </c>
    </row>
    <row r="266" spans="2:22" ht="15.75" customHeight="1" x14ac:dyDescent="0.25">
      <c r="B266">
        <v>263</v>
      </c>
      <c r="C266" t="s">
        <v>578</v>
      </c>
      <c r="D266" s="3" t="s">
        <v>579</v>
      </c>
      <c r="E266" s="6">
        <v>2900</v>
      </c>
      <c r="F266" s="6">
        <v>10756</v>
      </c>
      <c r="G266" s="17">
        <f>ROUND(Table1[[#This Row],[pledged]]/Table1[[#This Row],[goal]]*100,2)</f>
        <v>370.9</v>
      </c>
      <c r="H266" s="5">
        <f>+Table1[[#This Row],[pledged]]/Table1[[#This Row],[goal]]</f>
        <v>3.7089655172413791</v>
      </c>
      <c r="I266" t="s">
        <v>20</v>
      </c>
      <c r="J266">
        <v>199</v>
      </c>
      <c r="K266" s="8">
        <f>IFERROR(Table1[[#This Row],[pledged]]/Table1[[#This Row],[backers_count]],"NA")</f>
        <v>54.050251256281406</v>
      </c>
      <c r="L266" t="s">
        <v>21</v>
      </c>
      <c r="M266" t="s">
        <v>22</v>
      </c>
      <c r="N266">
        <v>1263016800</v>
      </c>
      <c r="O266">
        <v>1263016800</v>
      </c>
      <c r="P266" s="11">
        <f>+(((Table1[[#This Row],[launched_at]]/60)/60)/24)+DATE(1970,1,1)</f>
        <v>40187.25</v>
      </c>
      <c r="Q266" s="11">
        <f>+(((Table1[[#This Row],[deadline]]/60)/60)/24)+DATE(1970,1,1)</f>
        <v>40187.25</v>
      </c>
      <c r="R266" t="b">
        <v>0</v>
      </c>
      <c r="S266" t="b">
        <v>0</v>
      </c>
      <c r="T266" t="s">
        <v>122</v>
      </c>
      <c r="U266" t="str">
        <f>+LEFT(Table1[[#This Row],[category &amp; sub-category]],FIND("/",Table1[[#This Row],[category &amp; sub-category]])-1)</f>
        <v>photography</v>
      </c>
      <c r="V266" t="str">
        <f>+RIGHT(Table1[[#This Row],[category &amp; sub-category]],LEN(Table1[[#This Row],[category &amp; sub-category]])-SEARCH("/",Table1[[#This Row],[category &amp; sub-category]]))</f>
        <v>photography books</v>
      </c>
    </row>
    <row r="267" spans="2:22" ht="15.75" customHeight="1" x14ac:dyDescent="0.25">
      <c r="B267">
        <v>264</v>
      </c>
      <c r="C267" t="s">
        <v>580</v>
      </c>
      <c r="D267" s="3" t="s">
        <v>581</v>
      </c>
      <c r="E267" s="6">
        <v>45600</v>
      </c>
      <c r="F267" s="6">
        <v>165375</v>
      </c>
      <c r="G267" s="17">
        <f>ROUND(Table1[[#This Row],[pledged]]/Table1[[#This Row],[goal]]*100,2)</f>
        <v>362.66</v>
      </c>
      <c r="H267" s="5">
        <f>+Table1[[#This Row],[pledged]]/Table1[[#This Row],[goal]]</f>
        <v>3.6266447368421053</v>
      </c>
      <c r="I267" t="s">
        <v>20</v>
      </c>
      <c r="J267">
        <v>5512</v>
      </c>
      <c r="K267" s="8">
        <f>IFERROR(Table1[[#This Row],[pledged]]/Table1[[#This Row],[backers_count]],"NA")</f>
        <v>30.002721335268504</v>
      </c>
      <c r="L267" t="s">
        <v>21</v>
      </c>
      <c r="M267" t="s">
        <v>22</v>
      </c>
      <c r="N267">
        <v>1360648800</v>
      </c>
      <c r="O267">
        <v>1362031200</v>
      </c>
      <c r="P267" s="11">
        <f>+(((Table1[[#This Row],[launched_at]]/60)/60)/24)+DATE(1970,1,1)</f>
        <v>41317.25</v>
      </c>
      <c r="Q267" s="11">
        <f>+(((Table1[[#This Row],[deadline]]/60)/60)/24)+DATE(1970,1,1)</f>
        <v>41333.25</v>
      </c>
      <c r="R267" t="b">
        <v>0</v>
      </c>
      <c r="S267" t="b">
        <v>0</v>
      </c>
      <c r="T267" t="s">
        <v>33</v>
      </c>
      <c r="U267" t="str">
        <f>+LEFT(Table1[[#This Row],[category &amp; sub-category]],FIND("/",Table1[[#This Row],[category &amp; sub-category]])-1)</f>
        <v>theater</v>
      </c>
      <c r="V267" t="str">
        <f>+RIGHT(Table1[[#This Row],[category &amp; sub-category]],LEN(Table1[[#This Row],[category &amp; sub-category]])-SEARCH("/",Table1[[#This Row],[category &amp; sub-category]]))</f>
        <v>plays</v>
      </c>
    </row>
    <row r="268" spans="2:22" ht="15.75" customHeight="1" x14ac:dyDescent="0.25">
      <c r="B268">
        <v>265</v>
      </c>
      <c r="C268" t="s">
        <v>582</v>
      </c>
      <c r="D268" s="3" t="s">
        <v>583</v>
      </c>
      <c r="E268" s="6">
        <v>4900</v>
      </c>
      <c r="F268" s="6">
        <v>6031</v>
      </c>
      <c r="G268" s="17">
        <f>ROUND(Table1[[#This Row],[pledged]]/Table1[[#This Row],[goal]]*100,2)</f>
        <v>123.08</v>
      </c>
      <c r="H268" s="5">
        <f>+Table1[[#This Row],[pledged]]/Table1[[#This Row],[goal]]</f>
        <v>1.2308163265306122</v>
      </c>
      <c r="I268" t="s">
        <v>20</v>
      </c>
      <c r="J268">
        <v>86</v>
      </c>
      <c r="K268" s="8">
        <f>IFERROR(Table1[[#This Row],[pledged]]/Table1[[#This Row],[backers_count]],"NA")</f>
        <v>70.127906976744185</v>
      </c>
      <c r="L268" t="s">
        <v>21</v>
      </c>
      <c r="M268" t="s">
        <v>22</v>
      </c>
      <c r="N268">
        <v>1451800800</v>
      </c>
      <c r="O268">
        <v>1455602400</v>
      </c>
      <c r="P268" s="11">
        <f>+(((Table1[[#This Row],[launched_at]]/60)/60)/24)+DATE(1970,1,1)</f>
        <v>42372.25</v>
      </c>
      <c r="Q268" s="11">
        <f>+(((Table1[[#This Row],[deadline]]/60)/60)/24)+DATE(1970,1,1)</f>
        <v>42416.25</v>
      </c>
      <c r="R268" t="b">
        <v>0</v>
      </c>
      <c r="S268" t="b">
        <v>0</v>
      </c>
      <c r="T268" t="s">
        <v>33</v>
      </c>
      <c r="U268" t="str">
        <f>+LEFT(Table1[[#This Row],[category &amp; sub-category]],FIND("/",Table1[[#This Row],[category &amp; sub-category]])-1)</f>
        <v>theater</v>
      </c>
      <c r="V268" t="str">
        <f>+RIGHT(Table1[[#This Row],[category &amp; sub-category]],LEN(Table1[[#This Row],[category &amp; sub-category]])-SEARCH("/",Table1[[#This Row],[category &amp; sub-category]]))</f>
        <v>plays</v>
      </c>
    </row>
    <row r="269" spans="2:22" ht="15.75" customHeight="1" x14ac:dyDescent="0.25">
      <c r="B269">
        <v>266</v>
      </c>
      <c r="C269" t="s">
        <v>584</v>
      </c>
      <c r="D269" s="3" t="s">
        <v>585</v>
      </c>
      <c r="E269" s="6">
        <v>111900</v>
      </c>
      <c r="F269" s="6">
        <v>85902</v>
      </c>
      <c r="G269" s="17">
        <f>ROUND(Table1[[#This Row],[pledged]]/Table1[[#This Row],[goal]]*100,2)</f>
        <v>76.77</v>
      </c>
      <c r="H269" s="5">
        <f>+Table1[[#This Row],[pledged]]/Table1[[#This Row],[goal]]</f>
        <v>0.76766756032171579</v>
      </c>
      <c r="I269" t="s">
        <v>14</v>
      </c>
      <c r="J269">
        <v>3182</v>
      </c>
      <c r="K269" s="8">
        <f>IFERROR(Table1[[#This Row],[pledged]]/Table1[[#This Row],[backers_count]],"NA")</f>
        <v>26.996228786926462</v>
      </c>
      <c r="L269" t="s">
        <v>107</v>
      </c>
      <c r="M269" t="s">
        <v>108</v>
      </c>
      <c r="N269">
        <v>1415340000</v>
      </c>
      <c r="O269">
        <v>1418191200</v>
      </c>
      <c r="P269" s="11">
        <f>+(((Table1[[#This Row],[launched_at]]/60)/60)/24)+DATE(1970,1,1)</f>
        <v>41950.25</v>
      </c>
      <c r="Q269" s="11">
        <f>+(((Table1[[#This Row],[deadline]]/60)/60)/24)+DATE(1970,1,1)</f>
        <v>41983.25</v>
      </c>
      <c r="R269" t="b">
        <v>0</v>
      </c>
      <c r="S269" t="b">
        <v>1</v>
      </c>
      <c r="T269" t="s">
        <v>159</v>
      </c>
      <c r="U269" t="str">
        <f>+LEFT(Table1[[#This Row],[category &amp; sub-category]],FIND("/",Table1[[#This Row],[category &amp; sub-category]])-1)</f>
        <v>music</v>
      </c>
      <c r="V269" t="str">
        <f>+RIGHT(Table1[[#This Row],[category &amp; sub-category]],LEN(Table1[[#This Row],[category &amp; sub-category]])-SEARCH("/",Table1[[#This Row],[category &amp; sub-category]]))</f>
        <v>jazz</v>
      </c>
    </row>
    <row r="270" spans="2:22" ht="15.75" customHeight="1" x14ac:dyDescent="0.25">
      <c r="B270">
        <v>267</v>
      </c>
      <c r="C270" t="s">
        <v>586</v>
      </c>
      <c r="D270" s="3" t="s">
        <v>587</v>
      </c>
      <c r="E270" s="6">
        <v>61600</v>
      </c>
      <c r="F270" s="6">
        <v>143910</v>
      </c>
      <c r="G270" s="17">
        <f>ROUND(Table1[[#This Row],[pledged]]/Table1[[#This Row],[goal]]*100,2)</f>
        <v>233.62</v>
      </c>
      <c r="H270" s="5">
        <f>+Table1[[#This Row],[pledged]]/Table1[[#This Row],[goal]]</f>
        <v>2.3362012987012988</v>
      </c>
      <c r="I270" t="s">
        <v>20</v>
      </c>
      <c r="J270">
        <v>2768</v>
      </c>
      <c r="K270" s="8">
        <f>IFERROR(Table1[[#This Row],[pledged]]/Table1[[#This Row],[backers_count]],"NA")</f>
        <v>51.990606936416185</v>
      </c>
      <c r="L270" t="s">
        <v>26</v>
      </c>
      <c r="M270" t="s">
        <v>27</v>
      </c>
      <c r="N270">
        <v>1351054800</v>
      </c>
      <c r="O270">
        <v>1352440800</v>
      </c>
      <c r="P270" s="11">
        <f>+(((Table1[[#This Row],[launched_at]]/60)/60)/24)+DATE(1970,1,1)</f>
        <v>41206.208333333336</v>
      </c>
      <c r="Q270" s="11">
        <f>+(((Table1[[#This Row],[deadline]]/60)/60)/24)+DATE(1970,1,1)</f>
        <v>41222.25</v>
      </c>
      <c r="R270" t="b">
        <v>0</v>
      </c>
      <c r="S270" t="b">
        <v>0</v>
      </c>
      <c r="T270" t="s">
        <v>33</v>
      </c>
      <c r="U270" t="str">
        <f>+LEFT(Table1[[#This Row],[category &amp; sub-category]],FIND("/",Table1[[#This Row],[category &amp; sub-category]])-1)</f>
        <v>theater</v>
      </c>
      <c r="V270" t="str">
        <f>+RIGHT(Table1[[#This Row],[category &amp; sub-category]],LEN(Table1[[#This Row],[category &amp; sub-category]])-SEARCH("/",Table1[[#This Row],[category &amp; sub-category]]))</f>
        <v>plays</v>
      </c>
    </row>
    <row r="271" spans="2:22" ht="15.75" customHeight="1" x14ac:dyDescent="0.25">
      <c r="B271">
        <v>268</v>
      </c>
      <c r="C271" t="s">
        <v>588</v>
      </c>
      <c r="D271" s="3" t="s">
        <v>589</v>
      </c>
      <c r="E271" s="6">
        <v>1500</v>
      </c>
      <c r="F271" s="6">
        <v>2708</v>
      </c>
      <c r="G271" s="17">
        <f>ROUND(Table1[[#This Row],[pledged]]/Table1[[#This Row],[goal]]*100,2)</f>
        <v>180.53</v>
      </c>
      <c r="H271" s="5">
        <f>+Table1[[#This Row],[pledged]]/Table1[[#This Row],[goal]]</f>
        <v>1.8053333333333332</v>
      </c>
      <c r="I271" t="s">
        <v>20</v>
      </c>
      <c r="J271">
        <v>48</v>
      </c>
      <c r="K271" s="8">
        <f>IFERROR(Table1[[#This Row],[pledged]]/Table1[[#This Row],[backers_count]],"NA")</f>
        <v>56.416666666666664</v>
      </c>
      <c r="L271" t="s">
        <v>21</v>
      </c>
      <c r="M271" t="s">
        <v>22</v>
      </c>
      <c r="N271">
        <v>1349326800</v>
      </c>
      <c r="O271">
        <v>1353304800</v>
      </c>
      <c r="P271" s="11">
        <f>+(((Table1[[#This Row],[launched_at]]/60)/60)/24)+DATE(1970,1,1)</f>
        <v>41186.208333333336</v>
      </c>
      <c r="Q271" s="11">
        <f>+(((Table1[[#This Row],[deadline]]/60)/60)/24)+DATE(1970,1,1)</f>
        <v>41232.25</v>
      </c>
      <c r="R271" t="b">
        <v>0</v>
      </c>
      <c r="S271" t="b">
        <v>0</v>
      </c>
      <c r="T271" t="s">
        <v>42</v>
      </c>
      <c r="U271" t="str">
        <f>+LEFT(Table1[[#This Row],[category &amp; sub-category]],FIND("/",Table1[[#This Row],[category &amp; sub-category]])-1)</f>
        <v>film &amp; video</v>
      </c>
      <c r="V271" t="str">
        <f>+RIGHT(Table1[[#This Row],[category &amp; sub-category]],LEN(Table1[[#This Row],[category &amp; sub-category]])-SEARCH("/",Table1[[#This Row],[category &amp; sub-category]]))</f>
        <v>documentary</v>
      </c>
    </row>
    <row r="272" spans="2:22" ht="15.75" customHeight="1" x14ac:dyDescent="0.25">
      <c r="B272">
        <v>269</v>
      </c>
      <c r="C272" t="s">
        <v>590</v>
      </c>
      <c r="D272" s="3" t="s">
        <v>591</v>
      </c>
      <c r="E272" s="6">
        <v>3500</v>
      </c>
      <c r="F272" s="6">
        <v>8842</v>
      </c>
      <c r="G272" s="17">
        <f>ROUND(Table1[[#This Row],[pledged]]/Table1[[#This Row],[goal]]*100,2)</f>
        <v>252.63</v>
      </c>
      <c r="H272" s="5">
        <f>+Table1[[#This Row],[pledged]]/Table1[[#This Row],[goal]]</f>
        <v>2.5262857142857142</v>
      </c>
      <c r="I272" t="s">
        <v>20</v>
      </c>
      <c r="J272">
        <v>87</v>
      </c>
      <c r="K272" s="8">
        <f>IFERROR(Table1[[#This Row],[pledged]]/Table1[[#This Row],[backers_count]],"NA")</f>
        <v>101.63218390804597</v>
      </c>
      <c r="L272" t="s">
        <v>21</v>
      </c>
      <c r="M272" t="s">
        <v>22</v>
      </c>
      <c r="N272">
        <v>1548914400</v>
      </c>
      <c r="O272">
        <v>1550728800</v>
      </c>
      <c r="P272" s="11">
        <f>+(((Table1[[#This Row],[launched_at]]/60)/60)/24)+DATE(1970,1,1)</f>
        <v>43496.25</v>
      </c>
      <c r="Q272" s="11">
        <f>+(((Table1[[#This Row],[deadline]]/60)/60)/24)+DATE(1970,1,1)</f>
        <v>43517.25</v>
      </c>
      <c r="R272" t="b">
        <v>0</v>
      </c>
      <c r="S272" t="b">
        <v>0</v>
      </c>
      <c r="T272" t="s">
        <v>269</v>
      </c>
      <c r="U272" t="str">
        <f>+LEFT(Table1[[#This Row],[category &amp; sub-category]],FIND("/",Table1[[#This Row],[category &amp; sub-category]])-1)</f>
        <v>film &amp; video</v>
      </c>
      <c r="V272" t="str">
        <f>+RIGHT(Table1[[#This Row],[category &amp; sub-category]],LEN(Table1[[#This Row],[category &amp; sub-category]])-SEARCH("/",Table1[[#This Row],[category &amp; sub-category]]))</f>
        <v>television</v>
      </c>
    </row>
    <row r="273" spans="2:22" ht="15.75" customHeight="1" x14ac:dyDescent="0.25">
      <c r="B273">
        <v>270</v>
      </c>
      <c r="C273" t="s">
        <v>592</v>
      </c>
      <c r="D273" s="3" t="s">
        <v>593</v>
      </c>
      <c r="E273" s="6">
        <v>173900</v>
      </c>
      <c r="F273" s="6">
        <v>47260</v>
      </c>
      <c r="G273" s="17">
        <f>ROUND(Table1[[#This Row],[pledged]]/Table1[[#This Row],[goal]]*100,2)</f>
        <v>27.18</v>
      </c>
      <c r="H273" s="5">
        <f>+Table1[[#This Row],[pledged]]/Table1[[#This Row],[goal]]</f>
        <v>0.27176538240368026</v>
      </c>
      <c r="I273" t="s">
        <v>74</v>
      </c>
      <c r="J273">
        <v>1890</v>
      </c>
      <c r="K273" s="8">
        <f>IFERROR(Table1[[#This Row],[pledged]]/Table1[[#This Row],[backers_count]],"NA")</f>
        <v>25.005291005291006</v>
      </c>
      <c r="L273" t="s">
        <v>21</v>
      </c>
      <c r="M273" t="s">
        <v>22</v>
      </c>
      <c r="N273">
        <v>1291269600</v>
      </c>
      <c r="O273">
        <v>1291442400</v>
      </c>
      <c r="P273" s="11">
        <f>+(((Table1[[#This Row],[launched_at]]/60)/60)/24)+DATE(1970,1,1)</f>
        <v>40514.25</v>
      </c>
      <c r="Q273" s="11">
        <f>+(((Table1[[#This Row],[deadline]]/60)/60)/24)+DATE(1970,1,1)</f>
        <v>40516.25</v>
      </c>
      <c r="R273" t="b">
        <v>0</v>
      </c>
      <c r="S273" t="b">
        <v>0</v>
      </c>
      <c r="T273" t="s">
        <v>89</v>
      </c>
      <c r="U273" t="str">
        <f>+LEFT(Table1[[#This Row],[category &amp; sub-category]],FIND("/",Table1[[#This Row],[category &amp; sub-category]])-1)</f>
        <v>games</v>
      </c>
      <c r="V273" t="str">
        <f>+RIGHT(Table1[[#This Row],[category &amp; sub-category]],LEN(Table1[[#This Row],[category &amp; sub-category]])-SEARCH("/",Table1[[#This Row],[category &amp; sub-category]]))</f>
        <v>video games</v>
      </c>
    </row>
    <row r="274" spans="2:22" ht="15.75" customHeight="1" x14ac:dyDescent="0.25">
      <c r="B274">
        <v>271</v>
      </c>
      <c r="C274" t="s">
        <v>594</v>
      </c>
      <c r="D274" s="3" t="s">
        <v>595</v>
      </c>
      <c r="E274" s="6">
        <v>153700</v>
      </c>
      <c r="F274" s="6">
        <v>1953</v>
      </c>
      <c r="G274" s="17">
        <f>ROUND(Table1[[#This Row],[pledged]]/Table1[[#This Row],[goal]]*100,2)</f>
        <v>1.27</v>
      </c>
      <c r="H274" s="5">
        <f>+Table1[[#This Row],[pledged]]/Table1[[#This Row],[goal]]</f>
        <v>1.2706571242680547E-2</v>
      </c>
      <c r="I274" t="s">
        <v>47</v>
      </c>
      <c r="J274">
        <v>61</v>
      </c>
      <c r="K274" s="8">
        <f>IFERROR(Table1[[#This Row],[pledged]]/Table1[[#This Row],[backers_count]],"NA")</f>
        <v>32.016393442622949</v>
      </c>
      <c r="L274" t="s">
        <v>21</v>
      </c>
      <c r="M274" t="s">
        <v>22</v>
      </c>
      <c r="N274">
        <v>1449468000</v>
      </c>
      <c r="O274">
        <v>1452146400</v>
      </c>
      <c r="P274" s="11">
        <f>+(((Table1[[#This Row],[launched_at]]/60)/60)/24)+DATE(1970,1,1)</f>
        <v>42345.25</v>
      </c>
      <c r="Q274" s="11">
        <f>+(((Table1[[#This Row],[deadline]]/60)/60)/24)+DATE(1970,1,1)</f>
        <v>42376.25</v>
      </c>
      <c r="R274" t="b">
        <v>0</v>
      </c>
      <c r="S274" t="b">
        <v>0</v>
      </c>
      <c r="T274" t="s">
        <v>122</v>
      </c>
      <c r="U274" t="str">
        <f>+LEFT(Table1[[#This Row],[category &amp; sub-category]],FIND("/",Table1[[#This Row],[category &amp; sub-category]])-1)</f>
        <v>photography</v>
      </c>
      <c r="V274" t="str">
        <f>+RIGHT(Table1[[#This Row],[category &amp; sub-category]],LEN(Table1[[#This Row],[category &amp; sub-category]])-SEARCH("/",Table1[[#This Row],[category &amp; sub-category]]))</f>
        <v>photography books</v>
      </c>
    </row>
    <row r="275" spans="2:22" ht="15.75" customHeight="1" x14ac:dyDescent="0.25">
      <c r="B275">
        <v>272</v>
      </c>
      <c r="C275" t="s">
        <v>596</v>
      </c>
      <c r="D275" s="3" t="s">
        <v>597</v>
      </c>
      <c r="E275" s="6">
        <v>51100</v>
      </c>
      <c r="F275" s="6">
        <v>155349</v>
      </c>
      <c r="G275" s="17">
        <f>ROUND(Table1[[#This Row],[pledged]]/Table1[[#This Row],[goal]]*100,2)</f>
        <v>304.01</v>
      </c>
      <c r="H275" s="5">
        <f>+Table1[[#This Row],[pledged]]/Table1[[#This Row],[goal]]</f>
        <v>3.0400978473581213</v>
      </c>
      <c r="I275" t="s">
        <v>20</v>
      </c>
      <c r="J275">
        <v>1894</v>
      </c>
      <c r="K275" s="8">
        <f>IFERROR(Table1[[#This Row],[pledged]]/Table1[[#This Row],[backers_count]],"NA")</f>
        <v>82.021647307286173</v>
      </c>
      <c r="L275" t="s">
        <v>21</v>
      </c>
      <c r="M275" t="s">
        <v>22</v>
      </c>
      <c r="N275">
        <v>1562734800</v>
      </c>
      <c r="O275">
        <v>1564894800</v>
      </c>
      <c r="P275" s="11">
        <f>+(((Table1[[#This Row],[launched_at]]/60)/60)/24)+DATE(1970,1,1)</f>
        <v>43656.208333333328</v>
      </c>
      <c r="Q275" s="11">
        <f>+(((Table1[[#This Row],[deadline]]/60)/60)/24)+DATE(1970,1,1)</f>
        <v>43681.208333333328</v>
      </c>
      <c r="R275" t="b">
        <v>0</v>
      </c>
      <c r="S275" t="b">
        <v>1</v>
      </c>
      <c r="T275" t="s">
        <v>33</v>
      </c>
      <c r="U275" t="str">
        <f>+LEFT(Table1[[#This Row],[category &amp; sub-category]],FIND("/",Table1[[#This Row],[category &amp; sub-category]])-1)</f>
        <v>theater</v>
      </c>
      <c r="V275" t="str">
        <f>+RIGHT(Table1[[#This Row],[category &amp; sub-category]],LEN(Table1[[#This Row],[category &amp; sub-category]])-SEARCH("/",Table1[[#This Row],[category &amp; sub-category]]))</f>
        <v>plays</v>
      </c>
    </row>
    <row r="276" spans="2:22" ht="15.75" customHeight="1" x14ac:dyDescent="0.25">
      <c r="B276">
        <v>273</v>
      </c>
      <c r="C276" t="s">
        <v>598</v>
      </c>
      <c r="D276" s="3" t="s">
        <v>599</v>
      </c>
      <c r="E276" s="6">
        <v>7800</v>
      </c>
      <c r="F276" s="6">
        <v>10704</v>
      </c>
      <c r="G276" s="17">
        <f>ROUND(Table1[[#This Row],[pledged]]/Table1[[#This Row],[goal]]*100,2)</f>
        <v>137.22999999999999</v>
      </c>
      <c r="H276" s="5">
        <f>+Table1[[#This Row],[pledged]]/Table1[[#This Row],[goal]]</f>
        <v>1.3723076923076922</v>
      </c>
      <c r="I276" t="s">
        <v>20</v>
      </c>
      <c r="J276">
        <v>282</v>
      </c>
      <c r="K276" s="8">
        <f>IFERROR(Table1[[#This Row],[pledged]]/Table1[[#This Row],[backers_count]],"NA")</f>
        <v>37.957446808510639</v>
      </c>
      <c r="L276" t="s">
        <v>15</v>
      </c>
      <c r="M276" t="s">
        <v>16</v>
      </c>
      <c r="N276">
        <v>1505624400</v>
      </c>
      <c r="O276">
        <v>1505883600</v>
      </c>
      <c r="P276" s="11">
        <f>+(((Table1[[#This Row],[launched_at]]/60)/60)/24)+DATE(1970,1,1)</f>
        <v>42995.208333333328</v>
      </c>
      <c r="Q276" s="11">
        <f>+(((Table1[[#This Row],[deadline]]/60)/60)/24)+DATE(1970,1,1)</f>
        <v>42998.208333333328</v>
      </c>
      <c r="R276" t="b">
        <v>0</v>
      </c>
      <c r="S276" t="b">
        <v>0</v>
      </c>
      <c r="T276" t="s">
        <v>33</v>
      </c>
      <c r="U276" t="str">
        <f>+LEFT(Table1[[#This Row],[category &amp; sub-category]],FIND("/",Table1[[#This Row],[category &amp; sub-category]])-1)</f>
        <v>theater</v>
      </c>
      <c r="V276" t="str">
        <f>+RIGHT(Table1[[#This Row],[category &amp; sub-category]],LEN(Table1[[#This Row],[category &amp; sub-category]])-SEARCH("/",Table1[[#This Row],[category &amp; sub-category]]))</f>
        <v>plays</v>
      </c>
    </row>
    <row r="277" spans="2:22" ht="15.75" customHeight="1" x14ac:dyDescent="0.25">
      <c r="B277">
        <v>274</v>
      </c>
      <c r="C277" t="s">
        <v>600</v>
      </c>
      <c r="D277" s="3" t="s">
        <v>601</v>
      </c>
      <c r="E277" s="6">
        <v>2400</v>
      </c>
      <c r="F277" s="6">
        <v>773</v>
      </c>
      <c r="G277" s="17">
        <f>ROUND(Table1[[#This Row],[pledged]]/Table1[[#This Row],[goal]]*100,2)</f>
        <v>32.21</v>
      </c>
      <c r="H277" s="5">
        <f>+Table1[[#This Row],[pledged]]/Table1[[#This Row],[goal]]</f>
        <v>0.32208333333333333</v>
      </c>
      <c r="I277" t="s">
        <v>14</v>
      </c>
      <c r="J277">
        <v>15</v>
      </c>
      <c r="K277" s="8">
        <f>IFERROR(Table1[[#This Row],[pledged]]/Table1[[#This Row],[backers_count]],"NA")</f>
        <v>51.533333333333331</v>
      </c>
      <c r="L277" t="s">
        <v>21</v>
      </c>
      <c r="M277" t="s">
        <v>22</v>
      </c>
      <c r="N277">
        <v>1509948000</v>
      </c>
      <c r="O277">
        <v>1510380000</v>
      </c>
      <c r="P277" s="11">
        <f>+(((Table1[[#This Row],[launched_at]]/60)/60)/24)+DATE(1970,1,1)</f>
        <v>43045.25</v>
      </c>
      <c r="Q277" s="11">
        <f>+(((Table1[[#This Row],[deadline]]/60)/60)/24)+DATE(1970,1,1)</f>
        <v>43050.25</v>
      </c>
      <c r="R277" t="b">
        <v>0</v>
      </c>
      <c r="S277" t="b">
        <v>0</v>
      </c>
      <c r="T277" t="s">
        <v>33</v>
      </c>
      <c r="U277" t="str">
        <f>+LEFT(Table1[[#This Row],[category &amp; sub-category]],FIND("/",Table1[[#This Row],[category &amp; sub-category]])-1)</f>
        <v>theater</v>
      </c>
      <c r="V277" t="str">
        <f>+RIGHT(Table1[[#This Row],[category &amp; sub-category]],LEN(Table1[[#This Row],[category &amp; sub-category]])-SEARCH("/",Table1[[#This Row],[category &amp; sub-category]]))</f>
        <v>plays</v>
      </c>
    </row>
    <row r="278" spans="2:22" ht="15.75" customHeight="1" x14ac:dyDescent="0.25">
      <c r="B278">
        <v>275</v>
      </c>
      <c r="C278" t="s">
        <v>602</v>
      </c>
      <c r="D278" s="3" t="s">
        <v>603</v>
      </c>
      <c r="E278" s="6">
        <v>3900</v>
      </c>
      <c r="F278" s="6">
        <v>9419</v>
      </c>
      <c r="G278" s="17">
        <f>ROUND(Table1[[#This Row],[pledged]]/Table1[[#This Row],[goal]]*100,2)</f>
        <v>241.51</v>
      </c>
      <c r="H278" s="5">
        <f>+Table1[[#This Row],[pledged]]/Table1[[#This Row],[goal]]</f>
        <v>2.4151282051282053</v>
      </c>
      <c r="I278" t="s">
        <v>20</v>
      </c>
      <c r="J278">
        <v>116</v>
      </c>
      <c r="K278" s="8">
        <f>IFERROR(Table1[[#This Row],[pledged]]/Table1[[#This Row],[backers_count]],"NA")</f>
        <v>81.198275862068968</v>
      </c>
      <c r="L278" t="s">
        <v>21</v>
      </c>
      <c r="M278" t="s">
        <v>22</v>
      </c>
      <c r="N278">
        <v>1554526800</v>
      </c>
      <c r="O278">
        <v>1555218000</v>
      </c>
      <c r="P278" s="11">
        <f>+(((Table1[[#This Row],[launched_at]]/60)/60)/24)+DATE(1970,1,1)</f>
        <v>43561.208333333328</v>
      </c>
      <c r="Q278" s="11">
        <f>+(((Table1[[#This Row],[deadline]]/60)/60)/24)+DATE(1970,1,1)</f>
        <v>43569.208333333328</v>
      </c>
      <c r="R278" t="b">
        <v>0</v>
      </c>
      <c r="S278" t="b">
        <v>0</v>
      </c>
      <c r="T278" t="s">
        <v>206</v>
      </c>
      <c r="U278" t="str">
        <f>+LEFT(Table1[[#This Row],[category &amp; sub-category]],FIND("/",Table1[[#This Row],[category &amp; sub-category]])-1)</f>
        <v>publishing</v>
      </c>
      <c r="V278" t="str">
        <f>+RIGHT(Table1[[#This Row],[category &amp; sub-category]],LEN(Table1[[#This Row],[category &amp; sub-category]])-SEARCH("/",Table1[[#This Row],[category &amp; sub-category]]))</f>
        <v>translations</v>
      </c>
    </row>
    <row r="279" spans="2:22" ht="15.75" customHeight="1" x14ac:dyDescent="0.25">
      <c r="B279">
        <v>276</v>
      </c>
      <c r="C279" t="s">
        <v>604</v>
      </c>
      <c r="D279" s="3" t="s">
        <v>605</v>
      </c>
      <c r="E279" s="6">
        <v>5500</v>
      </c>
      <c r="F279" s="6">
        <v>5324</v>
      </c>
      <c r="G279" s="17">
        <f>ROUND(Table1[[#This Row],[pledged]]/Table1[[#This Row],[goal]]*100,2)</f>
        <v>96.8</v>
      </c>
      <c r="H279" s="5">
        <f>+Table1[[#This Row],[pledged]]/Table1[[#This Row],[goal]]</f>
        <v>0.96799999999999997</v>
      </c>
      <c r="I279" t="s">
        <v>14</v>
      </c>
      <c r="J279">
        <v>133</v>
      </c>
      <c r="K279" s="8">
        <f>IFERROR(Table1[[#This Row],[pledged]]/Table1[[#This Row],[backers_count]],"NA")</f>
        <v>40.030075187969928</v>
      </c>
      <c r="L279" t="s">
        <v>21</v>
      </c>
      <c r="M279" t="s">
        <v>22</v>
      </c>
      <c r="N279">
        <v>1334811600</v>
      </c>
      <c r="O279">
        <v>1335243600</v>
      </c>
      <c r="P279" s="11">
        <f>+(((Table1[[#This Row],[launched_at]]/60)/60)/24)+DATE(1970,1,1)</f>
        <v>41018.208333333336</v>
      </c>
      <c r="Q279" s="11">
        <f>+(((Table1[[#This Row],[deadline]]/60)/60)/24)+DATE(1970,1,1)</f>
        <v>41023.208333333336</v>
      </c>
      <c r="R279" t="b">
        <v>0</v>
      </c>
      <c r="S279" t="b">
        <v>1</v>
      </c>
      <c r="T279" t="s">
        <v>89</v>
      </c>
      <c r="U279" t="str">
        <f>+LEFT(Table1[[#This Row],[category &amp; sub-category]],FIND("/",Table1[[#This Row],[category &amp; sub-category]])-1)</f>
        <v>games</v>
      </c>
      <c r="V279" t="str">
        <f>+RIGHT(Table1[[#This Row],[category &amp; sub-category]],LEN(Table1[[#This Row],[category &amp; sub-category]])-SEARCH("/",Table1[[#This Row],[category &amp; sub-category]]))</f>
        <v>video games</v>
      </c>
    </row>
    <row r="280" spans="2:22" ht="15.75" customHeight="1" x14ac:dyDescent="0.25">
      <c r="B280">
        <v>277</v>
      </c>
      <c r="C280" t="s">
        <v>606</v>
      </c>
      <c r="D280" s="3" t="s">
        <v>607</v>
      </c>
      <c r="E280" s="6">
        <v>700</v>
      </c>
      <c r="F280" s="6">
        <v>7465</v>
      </c>
      <c r="G280" s="17">
        <f>ROUND(Table1[[#This Row],[pledged]]/Table1[[#This Row],[goal]]*100,2)</f>
        <v>1066.43</v>
      </c>
      <c r="H280" s="5">
        <f>+Table1[[#This Row],[pledged]]/Table1[[#This Row],[goal]]</f>
        <v>10.664285714285715</v>
      </c>
      <c r="I280" t="s">
        <v>20</v>
      </c>
      <c r="J280">
        <v>83</v>
      </c>
      <c r="K280" s="8">
        <f>IFERROR(Table1[[#This Row],[pledged]]/Table1[[#This Row],[backers_count]],"NA")</f>
        <v>89.939759036144579</v>
      </c>
      <c r="L280" t="s">
        <v>21</v>
      </c>
      <c r="M280" t="s">
        <v>22</v>
      </c>
      <c r="N280">
        <v>1279515600</v>
      </c>
      <c r="O280">
        <v>1279688400</v>
      </c>
      <c r="P280" s="11">
        <f>+(((Table1[[#This Row],[launched_at]]/60)/60)/24)+DATE(1970,1,1)</f>
        <v>40378.208333333336</v>
      </c>
      <c r="Q280" s="11">
        <f>+(((Table1[[#This Row],[deadline]]/60)/60)/24)+DATE(1970,1,1)</f>
        <v>40380.208333333336</v>
      </c>
      <c r="R280" t="b">
        <v>0</v>
      </c>
      <c r="S280" t="b">
        <v>0</v>
      </c>
      <c r="T280" t="s">
        <v>33</v>
      </c>
      <c r="U280" t="str">
        <f>+LEFT(Table1[[#This Row],[category &amp; sub-category]],FIND("/",Table1[[#This Row],[category &amp; sub-category]])-1)</f>
        <v>theater</v>
      </c>
      <c r="V280" t="str">
        <f>+RIGHT(Table1[[#This Row],[category &amp; sub-category]],LEN(Table1[[#This Row],[category &amp; sub-category]])-SEARCH("/",Table1[[#This Row],[category &amp; sub-category]]))</f>
        <v>plays</v>
      </c>
    </row>
    <row r="281" spans="2:22" ht="15.75" customHeight="1" x14ac:dyDescent="0.25">
      <c r="B281">
        <v>278</v>
      </c>
      <c r="C281" t="s">
        <v>608</v>
      </c>
      <c r="D281" s="3" t="s">
        <v>609</v>
      </c>
      <c r="E281" s="6">
        <v>2700</v>
      </c>
      <c r="F281" s="6">
        <v>8799</v>
      </c>
      <c r="G281" s="17">
        <f>ROUND(Table1[[#This Row],[pledged]]/Table1[[#This Row],[goal]]*100,2)</f>
        <v>325.89</v>
      </c>
      <c r="H281" s="5">
        <f>+Table1[[#This Row],[pledged]]/Table1[[#This Row],[goal]]</f>
        <v>3.2588888888888889</v>
      </c>
      <c r="I281" t="s">
        <v>20</v>
      </c>
      <c r="J281">
        <v>91</v>
      </c>
      <c r="K281" s="8">
        <f>IFERROR(Table1[[#This Row],[pledged]]/Table1[[#This Row],[backers_count]],"NA")</f>
        <v>96.692307692307693</v>
      </c>
      <c r="L281" t="s">
        <v>21</v>
      </c>
      <c r="M281" t="s">
        <v>22</v>
      </c>
      <c r="N281">
        <v>1353909600</v>
      </c>
      <c r="O281">
        <v>1356069600</v>
      </c>
      <c r="P281" s="11">
        <f>+(((Table1[[#This Row],[launched_at]]/60)/60)/24)+DATE(1970,1,1)</f>
        <v>41239.25</v>
      </c>
      <c r="Q281" s="11">
        <f>+(((Table1[[#This Row],[deadline]]/60)/60)/24)+DATE(1970,1,1)</f>
        <v>41264.25</v>
      </c>
      <c r="R281" t="b">
        <v>0</v>
      </c>
      <c r="S281" t="b">
        <v>0</v>
      </c>
      <c r="T281" t="s">
        <v>28</v>
      </c>
      <c r="U281" t="str">
        <f>+LEFT(Table1[[#This Row],[category &amp; sub-category]],FIND("/",Table1[[#This Row],[category &amp; sub-category]])-1)</f>
        <v>technology</v>
      </c>
      <c r="V281" t="str">
        <f>+RIGHT(Table1[[#This Row],[category &amp; sub-category]],LEN(Table1[[#This Row],[category &amp; sub-category]])-SEARCH("/",Table1[[#This Row],[category &amp; sub-category]]))</f>
        <v>web</v>
      </c>
    </row>
    <row r="282" spans="2:22" ht="15.75" customHeight="1" x14ac:dyDescent="0.25">
      <c r="B282">
        <v>279</v>
      </c>
      <c r="C282" t="s">
        <v>610</v>
      </c>
      <c r="D282" s="3" t="s">
        <v>611</v>
      </c>
      <c r="E282" s="6">
        <v>8000</v>
      </c>
      <c r="F282" s="6">
        <v>13656</v>
      </c>
      <c r="G282" s="17">
        <f>ROUND(Table1[[#This Row],[pledged]]/Table1[[#This Row],[goal]]*100,2)</f>
        <v>170.7</v>
      </c>
      <c r="H282" s="5">
        <f>+Table1[[#This Row],[pledged]]/Table1[[#This Row],[goal]]</f>
        <v>1.7070000000000001</v>
      </c>
      <c r="I282" t="s">
        <v>20</v>
      </c>
      <c r="J282">
        <v>546</v>
      </c>
      <c r="K282" s="8">
        <f>IFERROR(Table1[[#This Row],[pledged]]/Table1[[#This Row],[backers_count]],"NA")</f>
        <v>25.010989010989011</v>
      </c>
      <c r="L282" t="s">
        <v>21</v>
      </c>
      <c r="M282" t="s">
        <v>22</v>
      </c>
      <c r="N282">
        <v>1535950800</v>
      </c>
      <c r="O282">
        <v>1536210000</v>
      </c>
      <c r="P282" s="11">
        <f>+(((Table1[[#This Row],[launched_at]]/60)/60)/24)+DATE(1970,1,1)</f>
        <v>43346.208333333328</v>
      </c>
      <c r="Q282" s="11">
        <f>+(((Table1[[#This Row],[deadline]]/60)/60)/24)+DATE(1970,1,1)</f>
        <v>43349.208333333328</v>
      </c>
      <c r="R282" t="b">
        <v>0</v>
      </c>
      <c r="S282" t="b">
        <v>0</v>
      </c>
      <c r="T282" t="s">
        <v>33</v>
      </c>
      <c r="U282" t="str">
        <f>+LEFT(Table1[[#This Row],[category &amp; sub-category]],FIND("/",Table1[[#This Row],[category &amp; sub-category]])-1)</f>
        <v>theater</v>
      </c>
      <c r="V282" t="str">
        <f>+RIGHT(Table1[[#This Row],[category &amp; sub-category]],LEN(Table1[[#This Row],[category &amp; sub-category]])-SEARCH("/",Table1[[#This Row],[category &amp; sub-category]]))</f>
        <v>plays</v>
      </c>
    </row>
    <row r="283" spans="2:22" ht="15.75" customHeight="1" x14ac:dyDescent="0.25">
      <c r="B283">
        <v>280</v>
      </c>
      <c r="C283" t="s">
        <v>612</v>
      </c>
      <c r="D283" s="3" t="s">
        <v>613</v>
      </c>
      <c r="E283" s="6">
        <v>2500</v>
      </c>
      <c r="F283" s="6">
        <v>14536</v>
      </c>
      <c r="G283" s="17">
        <f>ROUND(Table1[[#This Row],[pledged]]/Table1[[#This Row],[goal]]*100,2)</f>
        <v>581.44000000000005</v>
      </c>
      <c r="H283" s="5">
        <f>+Table1[[#This Row],[pledged]]/Table1[[#This Row],[goal]]</f>
        <v>5.8144</v>
      </c>
      <c r="I283" t="s">
        <v>20</v>
      </c>
      <c r="J283">
        <v>393</v>
      </c>
      <c r="K283" s="8">
        <f>IFERROR(Table1[[#This Row],[pledged]]/Table1[[#This Row],[backers_count]],"NA")</f>
        <v>36.987277353689571</v>
      </c>
      <c r="L283" t="s">
        <v>21</v>
      </c>
      <c r="M283" t="s">
        <v>22</v>
      </c>
      <c r="N283">
        <v>1511244000</v>
      </c>
      <c r="O283">
        <v>1511762400</v>
      </c>
      <c r="P283" s="11">
        <f>+(((Table1[[#This Row],[launched_at]]/60)/60)/24)+DATE(1970,1,1)</f>
        <v>43060.25</v>
      </c>
      <c r="Q283" s="11">
        <f>+(((Table1[[#This Row],[deadline]]/60)/60)/24)+DATE(1970,1,1)</f>
        <v>43066.25</v>
      </c>
      <c r="R283" t="b">
        <v>0</v>
      </c>
      <c r="S283" t="b">
        <v>0</v>
      </c>
      <c r="T283" t="s">
        <v>71</v>
      </c>
      <c r="U283" t="str">
        <f>+LEFT(Table1[[#This Row],[category &amp; sub-category]],FIND("/",Table1[[#This Row],[category &amp; sub-category]])-1)</f>
        <v>film &amp; video</v>
      </c>
      <c r="V283" t="str">
        <f>+RIGHT(Table1[[#This Row],[category &amp; sub-category]],LEN(Table1[[#This Row],[category &amp; sub-category]])-SEARCH("/",Table1[[#This Row],[category &amp; sub-category]]))</f>
        <v>animation</v>
      </c>
    </row>
    <row r="284" spans="2:22" ht="15.75" customHeight="1" x14ac:dyDescent="0.25">
      <c r="B284">
        <v>281</v>
      </c>
      <c r="C284" t="s">
        <v>614</v>
      </c>
      <c r="D284" s="3" t="s">
        <v>615</v>
      </c>
      <c r="E284" s="6">
        <v>164500</v>
      </c>
      <c r="F284" s="6">
        <v>150552</v>
      </c>
      <c r="G284" s="17">
        <f>ROUND(Table1[[#This Row],[pledged]]/Table1[[#This Row],[goal]]*100,2)</f>
        <v>91.52</v>
      </c>
      <c r="H284" s="5">
        <f>+Table1[[#This Row],[pledged]]/Table1[[#This Row],[goal]]</f>
        <v>0.91520972644376897</v>
      </c>
      <c r="I284" t="s">
        <v>14</v>
      </c>
      <c r="J284">
        <v>2062</v>
      </c>
      <c r="K284" s="8">
        <f>IFERROR(Table1[[#This Row],[pledged]]/Table1[[#This Row],[backers_count]],"NA")</f>
        <v>73.012609117361791</v>
      </c>
      <c r="L284" t="s">
        <v>21</v>
      </c>
      <c r="M284" t="s">
        <v>22</v>
      </c>
      <c r="N284">
        <v>1331445600</v>
      </c>
      <c r="O284">
        <v>1333256400</v>
      </c>
      <c r="P284" s="11">
        <f>+(((Table1[[#This Row],[launched_at]]/60)/60)/24)+DATE(1970,1,1)</f>
        <v>40979.25</v>
      </c>
      <c r="Q284" s="11">
        <f>+(((Table1[[#This Row],[deadline]]/60)/60)/24)+DATE(1970,1,1)</f>
        <v>41000.208333333336</v>
      </c>
      <c r="R284" t="b">
        <v>0</v>
      </c>
      <c r="S284" t="b">
        <v>1</v>
      </c>
      <c r="T284" t="s">
        <v>33</v>
      </c>
      <c r="U284" t="str">
        <f>+LEFT(Table1[[#This Row],[category &amp; sub-category]],FIND("/",Table1[[#This Row],[category &amp; sub-category]])-1)</f>
        <v>theater</v>
      </c>
      <c r="V284" t="str">
        <f>+RIGHT(Table1[[#This Row],[category &amp; sub-category]],LEN(Table1[[#This Row],[category &amp; sub-category]])-SEARCH("/",Table1[[#This Row],[category &amp; sub-category]]))</f>
        <v>plays</v>
      </c>
    </row>
    <row r="285" spans="2:22" ht="15.75" customHeight="1" x14ac:dyDescent="0.25">
      <c r="B285">
        <v>282</v>
      </c>
      <c r="C285" t="s">
        <v>616</v>
      </c>
      <c r="D285" s="3" t="s">
        <v>617</v>
      </c>
      <c r="E285" s="6">
        <v>8400</v>
      </c>
      <c r="F285" s="6">
        <v>9076</v>
      </c>
      <c r="G285" s="17">
        <f>ROUND(Table1[[#This Row],[pledged]]/Table1[[#This Row],[goal]]*100,2)</f>
        <v>108.05</v>
      </c>
      <c r="H285" s="5">
        <f>+Table1[[#This Row],[pledged]]/Table1[[#This Row],[goal]]</f>
        <v>1.0804761904761904</v>
      </c>
      <c r="I285" t="s">
        <v>20</v>
      </c>
      <c r="J285">
        <v>133</v>
      </c>
      <c r="K285" s="8">
        <f>IFERROR(Table1[[#This Row],[pledged]]/Table1[[#This Row],[backers_count]],"NA")</f>
        <v>68.240601503759393</v>
      </c>
      <c r="L285" t="s">
        <v>21</v>
      </c>
      <c r="M285" t="s">
        <v>22</v>
      </c>
      <c r="N285">
        <v>1480226400</v>
      </c>
      <c r="O285">
        <v>1480744800</v>
      </c>
      <c r="P285" s="11">
        <f>+(((Table1[[#This Row],[launched_at]]/60)/60)/24)+DATE(1970,1,1)</f>
        <v>42701.25</v>
      </c>
      <c r="Q285" s="11">
        <f>+(((Table1[[#This Row],[deadline]]/60)/60)/24)+DATE(1970,1,1)</f>
        <v>42707.25</v>
      </c>
      <c r="R285" t="b">
        <v>0</v>
      </c>
      <c r="S285" t="b">
        <v>1</v>
      </c>
      <c r="T285" t="s">
        <v>269</v>
      </c>
      <c r="U285" t="str">
        <f>+LEFT(Table1[[#This Row],[category &amp; sub-category]],FIND("/",Table1[[#This Row],[category &amp; sub-category]])-1)</f>
        <v>film &amp; video</v>
      </c>
      <c r="V285" t="str">
        <f>+RIGHT(Table1[[#This Row],[category &amp; sub-category]],LEN(Table1[[#This Row],[category &amp; sub-category]])-SEARCH("/",Table1[[#This Row],[category &amp; sub-category]]))</f>
        <v>television</v>
      </c>
    </row>
    <row r="286" spans="2:22" ht="15.75" customHeight="1" x14ac:dyDescent="0.25">
      <c r="B286">
        <v>283</v>
      </c>
      <c r="C286" t="s">
        <v>618</v>
      </c>
      <c r="D286" s="3" t="s">
        <v>619</v>
      </c>
      <c r="E286" s="6">
        <v>8100</v>
      </c>
      <c r="F286" s="6">
        <v>1517</v>
      </c>
      <c r="G286" s="17">
        <f>ROUND(Table1[[#This Row],[pledged]]/Table1[[#This Row],[goal]]*100,2)</f>
        <v>18.73</v>
      </c>
      <c r="H286" s="5">
        <f>+Table1[[#This Row],[pledged]]/Table1[[#This Row],[goal]]</f>
        <v>0.18728395061728395</v>
      </c>
      <c r="I286" t="s">
        <v>14</v>
      </c>
      <c r="J286">
        <v>29</v>
      </c>
      <c r="K286" s="8">
        <f>IFERROR(Table1[[#This Row],[pledged]]/Table1[[#This Row],[backers_count]],"NA")</f>
        <v>52.310344827586206</v>
      </c>
      <c r="L286" t="s">
        <v>36</v>
      </c>
      <c r="M286" t="s">
        <v>37</v>
      </c>
      <c r="N286">
        <v>1464584400</v>
      </c>
      <c r="O286">
        <v>1465016400</v>
      </c>
      <c r="P286" s="11">
        <f>+(((Table1[[#This Row],[launched_at]]/60)/60)/24)+DATE(1970,1,1)</f>
        <v>42520.208333333328</v>
      </c>
      <c r="Q286" s="11">
        <f>+(((Table1[[#This Row],[deadline]]/60)/60)/24)+DATE(1970,1,1)</f>
        <v>42525.208333333328</v>
      </c>
      <c r="R286" t="b">
        <v>0</v>
      </c>
      <c r="S286" t="b">
        <v>0</v>
      </c>
      <c r="T286" t="s">
        <v>23</v>
      </c>
      <c r="U286" t="str">
        <f>+LEFT(Table1[[#This Row],[category &amp; sub-category]],FIND("/",Table1[[#This Row],[category &amp; sub-category]])-1)</f>
        <v>music</v>
      </c>
      <c r="V286" t="str">
        <f>+RIGHT(Table1[[#This Row],[category &amp; sub-category]],LEN(Table1[[#This Row],[category &amp; sub-category]])-SEARCH("/",Table1[[#This Row],[category &amp; sub-category]]))</f>
        <v>rock</v>
      </c>
    </row>
    <row r="287" spans="2:22" ht="15.75" customHeight="1" x14ac:dyDescent="0.25">
      <c r="B287">
        <v>284</v>
      </c>
      <c r="C287" t="s">
        <v>620</v>
      </c>
      <c r="D287" s="3" t="s">
        <v>621</v>
      </c>
      <c r="E287" s="6">
        <v>9800</v>
      </c>
      <c r="F287" s="6">
        <v>8153</v>
      </c>
      <c r="G287" s="17">
        <f>ROUND(Table1[[#This Row],[pledged]]/Table1[[#This Row],[goal]]*100,2)</f>
        <v>83.19</v>
      </c>
      <c r="H287" s="5">
        <f>+Table1[[#This Row],[pledged]]/Table1[[#This Row],[goal]]</f>
        <v>0.83193877551020412</v>
      </c>
      <c r="I287" t="s">
        <v>14</v>
      </c>
      <c r="J287">
        <v>132</v>
      </c>
      <c r="K287" s="8">
        <f>IFERROR(Table1[[#This Row],[pledged]]/Table1[[#This Row],[backers_count]],"NA")</f>
        <v>61.765151515151516</v>
      </c>
      <c r="L287" t="s">
        <v>21</v>
      </c>
      <c r="M287" t="s">
        <v>22</v>
      </c>
      <c r="N287">
        <v>1335848400</v>
      </c>
      <c r="O287">
        <v>1336280400</v>
      </c>
      <c r="P287" s="11">
        <f>+(((Table1[[#This Row],[launched_at]]/60)/60)/24)+DATE(1970,1,1)</f>
        <v>41030.208333333336</v>
      </c>
      <c r="Q287" s="11">
        <f>+(((Table1[[#This Row],[deadline]]/60)/60)/24)+DATE(1970,1,1)</f>
        <v>41035.208333333336</v>
      </c>
      <c r="R287" t="b">
        <v>0</v>
      </c>
      <c r="S287" t="b">
        <v>0</v>
      </c>
      <c r="T287" t="s">
        <v>28</v>
      </c>
      <c r="U287" t="str">
        <f>+LEFT(Table1[[#This Row],[category &amp; sub-category]],FIND("/",Table1[[#This Row],[category &amp; sub-category]])-1)</f>
        <v>technology</v>
      </c>
      <c r="V287" t="str">
        <f>+RIGHT(Table1[[#This Row],[category &amp; sub-category]],LEN(Table1[[#This Row],[category &amp; sub-category]])-SEARCH("/",Table1[[#This Row],[category &amp; sub-category]]))</f>
        <v>web</v>
      </c>
    </row>
    <row r="288" spans="2:22" ht="15.75" customHeight="1" x14ac:dyDescent="0.25">
      <c r="B288">
        <v>285</v>
      </c>
      <c r="C288" t="s">
        <v>622</v>
      </c>
      <c r="D288" s="3" t="s">
        <v>623</v>
      </c>
      <c r="E288" s="6">
        <v>900</v>
      </c>
      <c r="F288" s="6">
        <v>6357</v>
      </c>
      <c r="G288" s="17">
        <f>ROUND(Table1[[#This Row],[pledged]]/Table1[[#This Row],[goal]]*100,2)</f>
        <v>706.33</v>
      </c>
      <c r="H288" s="5">
        <f>+Table1[[#This Row],[pledged]]/Table1[[#This Row],[goal]]</f>
        <v>7.0633333333333335</v>
      </c>
      <c r="I288" t="s">
        <v>20</v>
      </c>
      <c r="J288">
        <v>254</v>
      </c>
      <c r="K288" s="8">
        <f>IFERROR(Table1[[#This Row],[pledged]]/Table1[[#This Row],[backers_count]],"NA")</f>
        <v>25.027559055118111</v>
      </c>
      <c r="L288" t="s">
        <v>21</v>
      </c>
      <c r="M288" t="s">
        <v>22</v>
      </c>
      <c r="N288">
        <v>1473483600</v>
      </c>
      <c r="O288">
        <v>1476766800</v>
      </c>
      <c r="P288" s="11">
        <f>+(((Table1[[#This Row],[launched_at]]/60)/60)/24)+DATE(1970,1,1)</f>
        <v>42623.208333333328</v>
      </c>
      <c r="Q288" s="11">
        <f>+(((Table1[[#This Row],[deadline]]/60)/60)/24)+DATE(1970,1,1)</f>
        <v>42661.208333333328</v>
      </c>
      <c r="R288" t="b">
        <v>0</v>
      </c>
      <c r="S288" t="b">
        <v>0</v>
      </c>
      <c r="T288" t="s">
        <v>33</v>
      </c>
      <c r="U288" t="str">
        <f>+LEFT(Table1[[#This Row],[category &amp; sub-category]],FIND("/",Table1[[#This Row],[category &amp; sub-category]])-1)</f>
        <v>theater</v>
      </c>
      <c r="V288" t="str">
        <f>+RIGHT(Table1[[#This Row],[category &amp; sub-category]],LEN(Table1[[#This Row],[category &amp; sub-category]])-SEARCH("/",Table1[[#This Row],[category &amp; sub-category]]))</f>
        <v>plays</v>
      </c>
    </row>
    <row r="289" spans="2:22" ht="15.75" customHeight="1" x14ac:dyDescent="0.25">
      <c r="B289">
        <v>286</v>
      </c>
      <c r="C289" t="s">
        <v>624</v>
      </c>
      <c r="D289" s="3" t="s">
        <v>625</v>
      </c>
      <c r="E289" s="6">
        <v>112100</v>
      </c>
      <c r="F289" s="6">
        <v>19557</v>
      </c>
      <c r="G289" s="17">
        <f>ROUND(Table1[[#This Row],[pledged]]/Table1[[#This Row],[goal]]*100,2)</f>
        <v>17.45</v>
      </c>
      <c r="H289" s="5">
        <f>+Table1[[#This Row],[pledged]]/Table1[[#This Row],[goal]]</f>
        <v>0.17446030330062445</v>
      </c>
      <c r="I289" t="s">
        <v>74</v>
      </c>
      <c r="J289">
        <v>184</v>
      </c>
      <c r="K289" s="8">
        <f>IFERROR(Table1[[#This Row],[pledged]]/Table1[[#This Row],[backers_count]],"NA")</f>
        <v>106.28804347826087</v>
      </c>
      <c r="L289" t="s">
        <v>21</v>
      </c>
      <c r="M289" t="s">
        <v>22</v>
      </c>
      <c r="N289">
        <v>1479880800</v>
      </c>
      <c r="O289">
        <v>1480485600</v>
      </c>
      <c r="P289" s="11">
        <f>+(((Table1[[#This Row],[launched_at]]/60)/60)/24)+DATE(1970,1,1)</f>
        <v>42697.25</v>
      </c>
      <c r="Q289" s="11">
        <f>+(((Table1[[#This Row],[deadline]]/60)/60)/24)+DATE(1970,1,1)</f>
        <v>42704.25</v>
      </c>
      <c r="R289" t="b">
        <v>0</v>
      </c>
      <c r="S289" t="b">
        <v>0</v>
      </c>
      <c r="T289" t="s">
        <v>33</v>
      </c>
      <c r="U289" t="str">
        <f>+LEFT(Table1[[#This Row],[category &amp; sub-category]],FIND("/",Table1[[#This Row],[category &amp; sub-category]])-1)</f>
        <v>theater</v>
      </c>
      <c r="V289" t="str">
        <f>+RIGHT(Table1[[#This Row],[category &amp; sub-category]],LEN(Table1[[#This Row],[category &amp; sub-category]])-SEARCH("/",Table1[[#This Row],[category &amp; sub-category]]))</f>
        <v>plays</v>
      </c>
    </row>
    <row r="290" spans="2:22" ht="15.75" customHeight="1" x14ac:dyDescent="0.25">
      <c r="B290">
        <v>287</v>
      </c>
      <c r="C290" t="s">
        <v>626</v>
      </c>
      <c r="D290" s="3" t="s">
        <v>627</v>
      </c>
      <c r="E290" s="6">
        <v>6300</v>
      </c>
      <c r="F290" s="6">
        <v>13213</v>
      </c>
      <c r="G290" s="17">
        <f>ROUND(Table1[[#This Row],[pledged]]/Table1[[#This Row],[goal]]*100,2)</f>
        <v>209.73</v>
      </c>
      <c r="H290" s="5">
        <f>+Table1[[#This Row],[pledged]]/Table1[[#This Row],[goal]]</f>
        <v>2.0973015873015872</v>
      </c>
      <c r="I290" t="s">
        <v>20</v>
      </c>
      <c r="J290">
        <v>176</v>
      </c>
      <c r="K290" s="8">
        <f>IFERROR(Table1[[#This Row],[pledged]]/Table1[[#This Row],[backers_count]],"NA")</f>
        <v>75.07386363636364</v>
      </c>
      <c r="L290" t="s">
        <v>21</v>
      </c>
      <c r="M290" t="s">
        <v>22</v>
      </c>
      <c r="N290">
        <v>1430197200</v>
      </c>
      <c r="O290">
        <v>1430197200</v>
      </c>
      <c r="P290" s="11">
        <f>+(((Table1[[#This Row],[launched_at]]/60)/60)/24)+DATE(1970,1,1)</f>
        <v>42122.208333333328</v>
      </c>
      <c r="Q290" s="11">
        <f>+(((Table1[[#This Row],[deadline]]/60)/60)/24)+DATE(1970,1,1)</f>
        <v>42122.208333333328</v>
      </c>
      <c r="R290" t="b">
        <v>0</v>
      </c>
      <c r="S290" t="b">
        <v>0</v>
      </c>
      <c r="T290" t="s">
        <v>50</v>
      </c>
      <c r="U290" t="str">
        <f>+LEFT(Table1[[#This Row],[category &amp; sub-category]],FIND("/",Table1[[#This Row],[category &amp; sub-category]])-1)</f>
        <v>music</v>
      </c>
      <c r="V290" t="str">
        <f>+RIGHT(Table1[[#This Row],[category &amp; sub-category]],LEN(Table1[[#This Row],[category &amp; sub-category]])-SEARCH("/",Table1[[#This Row],[category &amp; sub-category]]))</f>
        <v>electric music</v>
      </c>
    </row>
    <row r="291" spans="2:22" ht="15.75" customHeight="1" x14ac:dyDescent="0.25">
      <c r="B291">
        <v>288</v>
      </c>
      <c r="C291" t="s">
        <v>628</v>
      </c>
      <c r="D291" s="3" t="s">
        <v>629</v>
      </c>
      <c r="E291" s="6">
        <v>5600</v>
      </c>
      <c r="F291" s="6">
        <v>5476</v>
      </c>
      <c r="G291" s="17">
        <f>ROUND(Table1[[#This Row],[pledged]]/Table1[[#This Row],[goal]]*100,2)</f>
        <v>97.79</v>
      </c>
      <c r="H291" s="5">
        <f>+Table1[[#This Row],[pledged]]/Table1[[#This Row],[goal]]</f>
        <v>0.97785714285714287</v>
      </c>
      <c r="I291" t="s">
        <v>14</v>
      </c>
      <c r="J291">
        <v>137</v>
      </c>
      <c r="K291" s="8">
        <f>IFERROR(Table1[[#This Row],[pledged]]/Table1[[#This Row],[backers_count]],"NA")</f>
        <v>39.970802919708028</v>
      </c>
      <c r="L291" t="s">
        <v>36</v>
      </c>
      <c r="M291" t="s">
        <v>37</v>
      </c>
      <c r="N291">
        <v>1331701200</v>
      </c>
      <c r="O291">
        <v>1331787600</v>
      </c>
      <c r="P291" s="11">
        <f>+(((Table1[[#This Row],[launched_at]]/60)/60)/24)+DATE(1970,1,1)</f>
        <v>40982.208333333336</v>
      </c>
      <c r="Q291" s="11">
        <f>+(((Table1[[#This Row],[deadline]]/60)/60)/24)+DATE(1970,1,1)</f>
        <v>40983.208333333336</v>
      </c>
      <c r="R291" t="b">
        <v>0</v>
      </c>
      <c r="S291" t="b">
        <v>1</v>
      </c>
      <c r="T291" t="s">
        <v>148</v>
      </c>
      <c r="U291" t="str">
        <f>+LEFT(Table1[[#This Row],[category &amp; sub-category]],FIND("/",Table1[[#This Row],[category &amp; sub-category]])-1)</f>
        <v>music</v>
      </c>
      <c r="V291" t="str">
        <f>+RIGHT(Table1[[#This Row],[category &amp; sub-category]],LEN(Table1[[#This Row],[category &amp; sub-category]])-SEARCH("/",Table1[[#This Row],[category &amp; sub-category]]))</f>
        <v>metal</v>
      </c>
    </row>
    <row r="292" spans="2:22" ht="15.75" customHeight="1" x14ac:dyDescent="0.25">
      <c r="B292">
        <v>289</v>
      </c>
      <c r="C292" t="s">
        <v>630</v>
      </c>
      <c r="D292" s="3" t="s">
        <v>631</v>
      </c>
      <c r="E292" s="6">
        <v>800</v>
      </c>
      <c r="F292" s="6">
        <v>13474</v>
      </c>
      <c r="G292" s="17">
        <f>ROUND(Table1[[#This Row],[pledged]]/Table1[[#This Row],[goal]]*100,2)</f>
        <v>1684.25</v>
      </c>
      <c r="H292" s="5">
        <f>+Table1[[#This Row],[pledged]]/Table1[[#This Row],[goal]]</f>
        <v>16.842500000000001</v>
      </c>
      <c r="I292" t="s">
        <v>20</v>
      </c>
      <c r="J292">
        <v>337</v>
      </c>
      <c r="K292" s="8">
        <f>IFERROR(Table1[[#This Row],[pledged]]/Table1[[#This Row],[backers_count]],"NA")</f>
        <v>39.982195845697326</v>
      </c>
      <c r="L292" t="s">
        <v>15</v>
      </c>
      <c r="M292" t="s">
        <v>16</v>
      </c>
      <c r="N292">
        <v>1438578000</v>
      </c>
      <c r="O292">
        <v>1438837200</v>
      </c>
      <c r="P292" s="11">
        <f>+(((Table1[[#This Row],[launched_at]]/60)/60)/24)+DATE(1970,1,1)</f>
        <v>42219.208333333328</v>
      </c>
      <c r="Q292" s="11">
        <f>+(((Table1[[#This Row],[deadline]]/60)/60)/24)+DATE(1970,1,1)</f>
        <v>42222.208333333328</v>
      </c>
      <c r="R292" t="b">
        <v>0</v>
      </c>
      <c r="S292" t="b">
        <v>0</v>
      </c>
      <c r="T292" t="s">
        <v>33</v>
      </c>
      <c r="U292" t="str">
        <f>+LEFT(Table1[[#This Row],[category &amp; sub-category]],FIND("/",Table1[[#This Row],[category &amp; sub-category]])-1)</f>
        <v>theater</v>
      </c>
      <c r="V292" t="str">
        <f>+RIGHT(Table1[[#This Row],[category &amp; sub-category]],LEN(Table1[[#This Row],[category &amp; sub-category]])-SEARCH("/",Table1[[#This Row],[category &amp; sub-category]]))</f>
        <v>plays</v>
      </c>
    </row>
    <row r="293" spans="2:22" ht="15.75" customHeight="1" x14ac:dyDescent="0.25">
      <c r="B293">
        <v>290</v>
      </c>
      <c r="C293" t="s">
        <v>632</v>
      </c>
      <c r="D293" s="3" t="s">
        <v>633</v>
      </c>
      <c r="E293" s="6">
        <v>168600</v>
      </c>
      <c r="F293" s="6">
        <v>91722</v>
      </c>
      <c r="G293" s="17">
        <f>ROUND(Table1[[#This Row],[pledged]]/Table1[[#This Row],[goal]]*100,2)</f>
        <v>54.4</v>
      </c>
      <c r="H293" s="5">
        <f>+Table1[[#This Row],[pledged]]/Table1[[#This Row],[goal]]</f>
        <v>0.54402135231316728</v>
      </c>
      <c r="I293" t="s">
        <v>14</v>
      </c>
      <c r="J293">
        <v>908</v>
      </c>
      <c r="K293" s="8">
        <f>IFERROR(Table1[[#This Row],[pledged]]/Table1[[#This Row],[backers_count]],"NA")</f>
        <v>101.01541850220265</v>
      </c>
      <c r="L293" t="s">
        <v>21</v>
      </c>
      <c r="M293" t="s">
        <v>22</v>
      </c>
      <c r="N293">
        <v>1368162000</v>
      </c>
      <c r="O293">
        <v>1370926800</v>
      </c>
      <c r="P293" s="11">
        <f>+(((Table1[[#This Row],[launched_at]]/60)/60)/24)+DATE(1970,1,1)</f>
        <v>41404.208333333336</v>
      </c>
      <c r="Q293" s="11">
        <f>+(((Table1[[#This Row],[deadline]]/60)/60)/24)+DATE(1970,1,1)</f>
        <v>41436.208333333336</v>
      </c>
      <c r="R293" t="b">
        <v>0</v>
      </c>
      <c r="S293" t="b">
        <v>1</v>
      </c>
      <c r="T293" t="s">
        <v>42</v>
      </c>
      <c r="U293" t="str">
        <f>+LEFT(Table1[[#This Row],[category &amp; sub-category]],FIND("/",Table1[[#This Row],[category &amp; sub-category]])-1)</f>
        <v>film &amp; video</v>
      </c>
      <c r="V293" t="str">
        <f>+RIGHT(Table1[[#This Row],[category &amp; sub-category]],LEN(Table1[[#This Row],[category &amp; sub-category]])-SEARCH("/",Table1[[#This Row],[category &amp; sub-category]]))</f>
        <v>documentary</v>
      </c>
    </row>
    <row r="294" spans="2:22" ht="15.75" customHeight="1" x14ac:dyDescent="0.25">
      <c r="B294">
        <v>291</v>
      </c>
      <c r="C294" t="s">
        <v>634</v>
      </c>
      <c r="D294" s="3" t="s">
        <v>635</v>
      </c>
      <c r="E294" s="6">
        <v>1800</v>
      </c>
      <c r="F294" s="6">
        <v>8219</v>
      </c>
      <c r="G294" s="17">
        <f>ROUND(Table1[[#This Row],[pledged]]/Table1[[#This Row],[goal]]*100,2)</f>
        <v>456.61</v>
      </c>
      <c r="H294" s="5">
        <f>+Table1[[#This Row],[pledged]]/Table1[[#This Row],[goal]]</f>
        <v>4.5661111111111108</v>
      </c>
      <c r="I294" t="s">
        <v>20</v>
      </c>
      <c r="J294">
        <v>107</v>
      </c>
      <c r="K294" s="8">
        <f>IFERROR(Table1[[#This Row],[pledged]]/Table1[[#This Row],[backers_count]],"NA")</f>
        <v>76.813084112149539</v>
      </c>
      <c r="L294" t="s">
        <v>21</v>
      </c>
      <c r="M294" t="s">
        <v>22</v>
      </c>
      <c r="N294">
        <v>1318654800</v>
      </c>
      <c r="O294">
        <v>1319000400</v>
      </c>
      <c r="P294" s="11">
        <f>+(((Table1[[#This Row],[launched_at]]/60)/60)/24)+DATE(1970,1,1)</f>
        <v>40831.208333333336</v>
      </c>
      <c r="Q294" s="11">
        <f>+(((Table1[[#This Row],[deadline]]/60)/60)/24)+DATE(1970,1,1)</f>
        <v>40835.208333333336</v>
      </c>
      <c r="R294" t="b">
        <v>1</v>
      </c>
      <c r="S294" t="b">
        <v>0</v>
      </c>
      <c r="T294" t="s">
        <v>28</v>
      </c>
      <c r="U294" t="str">
        <f>+LEFT(Table1[[#This Row],[category &amp; sub-category]],FIND("/",Table1[[#This Row],[category &amp; sub-category]])-1)</f>
        <v>technology</v>
      </c>
      <c r="V294" t="str">
        <f>+RIGHT(Table1[[#This Row],[category &amp; sub-category]],LEN(Table1[[#This Row],[category &amp; sub-category]])-SEARCH("/",Table1[[#This Row],[category &amp; sub-category]]))</f>
        <v>web</v>
      </c>
    </row>
    <row r="295" spans="2:22" ht="15.75" customHeight="1" x14ac:dyDescent="0.25">
      <c r="B295">
        <v>292</v>
      </c>
      <c r="C295" t="s">
        <v>636</v>
      </c>
      <c r="D295" s="3" t="s">
        <v>637</v>
      </c>
      <c r="E295" s="6">
        <v>7300</v>
      </c>
      <c r="F295" s="6">
        <v>717</v>
      </c>
      <c r="G295" s="17">
        <f>ROUND(Table1[[#This Row],[pledged]]/Table1[[#This Row],[goal]]*100,2)</f>
        <v>9.82</v>
      </c>
      <c r="H295" s="5">
        <f>+Table1[[#This Row],[pledged]]/Table1[[#This Row],[goal]]</f>
        <v>9.8219178082191785E-2</v>
      </c>
      <c r="I295" t="s">
        <v>14</v>
      </c>
      <c r="J295">
        <v>10</v>
      </c>
      <c r="K295" s="8">
        <f>IFERROR(Table1[[#This Row],[pledged]]/Table1[[#This Row],[backers_count]],"NA")</f>
        <v>71.7</v>
      </c>
      <c r="L295" t="s">
        <v>21</v>
      </c>
      <c r="M295" t="s">
        <v>22</v>
      </c>
      <c r="N295">
        <v>1331874000</v>
      </c>
      <c r="O295">
        <v>1333429200</v>
      </c>
      <c r="P295" s="11">
        <f>+(((Table1[[#This Row],[launched_at]]/60)/60)/24)+DATE(1970,1,1)</f>
        <v>40984.208333333336</v>
      </c>
      <c r="Q295" s="11">
        <f>+(((Table1[[#This Row],[deadline]]/60)/60)/24)+DATE(1970,1,1)</f>
        <v>41002.208333333336</v>
      </c>
      <c r="R295" t="b">
        <v>0</v>
      </c>
      <c r="S295" t="b">
        <v>0</v>
      </c>
      <c r="T295" t="s">
        <v>17</v>
      </c>
      <c r="U295" t="str">
        <f>+LEFT(Table1[[#This Row],[category &amp; sub-category]],FIND("/",Table1[[#This Row],[category &amp; sub-category]])-1)</f>
        <v>food</v>
      </c>
      <c r="V295" t="str">
        <f>+RIGHT(Table1[[#This Row],[category &amp; sub-category]],LEN(Table1[[#This Row],[category &amp; sub-category]])-SEARCH("/",Table1[[#This Row],[category &amp; sub-category]]))</f>
        <v>food trucks</v>
      </c>
    </row>
    <row r="296" spans="2:22" ht="15.75" customHeight="1" x14ac:dyDescent="0.25">
      <c r="B296">
        <v>293</v>
      </c>
      <c r="C296" t="s">
        <v>638</v>
      </c>
      <c r="D296" s="3" t="s">
        <v>639</v>
      </c>
      <c r="E296" s="6">
        <v>6500</v>
      </c>
      <c r="F296" s="6">
        <v>1065</v>
      </c>
      <c r="G296" s="17">
        <f>ROUND(Table1[[#This Row],[pledged]]/Table1[[#This Row],[goal]]*100,2)</f>
        <v>16.38</v>
      </c>
      <c r="H296" s="5">
        <f>+Table1[[#This Row],[pledged]]/Table1[[#This Row],[goal]]</f>
        <v>0.16384615384615384</v>
      </c>
      <c r="I296" t="s">
        <v>74</v>
      </c>
      <c r="J296">
        <v>32</v>
      </c>
      <c r="K296" s="8">
        <f>IFERROR(Table1[[#This Row],[pledged]]/Table1[[#This Row],[backers_count]],"NA")</f>
        <v>33.28125</v>
      </c>
      <c r="L296" t="s">
        <v>107</v>
      </c>
      <c r="M296" t="s">
        <v>108</v>
      </c>
      <c r="N296">
        <v>1286254800</v>
      </c>
      <c r="O296">
        <v>1287032400</v>
      </c>
      <c r="P296" s="11">
        <f>+(((Table1[[#This Row],[launched_at]]/60)/60)/24)+DATE(1970,1,1)</f>
        <v>40456.208333333336</v>
      </c>
      <c r="Q296" s="11">
        <f>+(((Table1[[#This Row],[deadline]]/60)/60)/24)+DATE(1970,1,1)</f>
        <v>40465.208333333336</v>
      </c>
      <c r="R296" t="b">
        <v>0</v>
      </c>
      <c r="S296" t="b">
        <v>0</v>
      </c>
      <c r="T296" t="s">
        <v>33</v>
      </c>
      <c r="U296" t="str">
        <f>+LEFT(Table1[[#This Row],[category &amp; sub-category]],FIND("/",Table1[[#This Row],[category &amp; sub-category]])-1)</f>
        <v>theater</v>
      </c>
      <c r="V296" t="str">
        <f>+RIGHT(Table1[[#This Row],[category &amp; sub-category]],LEN(Table1[[#This Row],[category &amp; sub-category]])-SEARCH("/",Table1[[#This Row],[category &amp; sub-category]]))</f>
        <v>plays</v>
      </c>
    </row>
    <row r="297" spans="2:22" ht="15.75" customHeight="1" x14ac:dyDescent="0.25">
      <c r="B297">
        <v>294</v>
      </c>
      <c r="C297" t="s">
        <v>640</v>
      </c>
      <c r="D297" s="3" t="s">
        <v>641</v>
      </c>
      <c r="E297" s="6">
        <v>600</v>
      </c>
      <c r="F297" s="6">
        <v>8038</v>
      </c>
      <c r="G297" s="17">
        <f>ROUND(Table1[[#This Row],[pledged]]/Table1[[#This Row],[goal]]*100,2)</f>
        <v>1339.67</v>
      </c>
      <c r="H297" s="5">
        <f>+Table1[[#This Row],[pledged]]/Table1[[#This Row],[goal]]</f>
        <v>13.396666666666667</v>
      </c>
      <c r="I297" t="s">
        <v>20</v>
      </c>
      <c r="J297">
        <v>183</v>
      </c>
      <c r="K297" s="8">
        <f>IFERROR(Table1[[#This Row],[pledged]]/Table1[[#This Row],[backers_count]],"NA")</f>
        <v>43.923497267759565</v>
      </c>
      <c r="L297" t="s">
        <v>21</v>
      </c>
      <c r="M297" t="s">
        <v>22</v>
      </c>
      <c r="N297">
        <v>1540530000</v>
      </c>
      <c r="O297">
        <v>1541570400</v>
      </c>
      <c r="P297" s="11">
        <f>+(((Table1[[#This Row],[launched_at]]/60)/60)/24)+DATE(1970,1,1)</f>
        <v>43399.208333333328</v>
      </c>
      <c r="Q297" s="11">
        <f>+(((Table1[[#This Row],[deadline]]/60)/60)/24)+DATE(1970,1,1)</f>
        <v>43411.25</v>
      </c>
      <c r="R297" t="b">
        <v>0</v>
      </c>
      <c r="S297" t="b">
        <v>0</v>
      </c>
      <c r="T297" t="s">
        <v>33</v>
      </c>
      <c r="U297" t="str">
        <f>+LEFT(Table1[[#This Row],[category &amp; sub-category]],FIND("/",Table1[[#This Row],[category &amp; sub-category]])-1)</f>
        <v>theater</v>
      </c>
      <c r="V297" t="str">
        <f>+RIGHT(Table1[[#This Row],[category &amp; sub-category]],LEN(Table1[[#This Row],[category &amp; sub-category]])-SEARCH("/",Table1[[#This Row],[category &amp; sub-category]]))</f>
        <v>plays</v>
      </c>
    </row>
    <row r="298" spans="2:22" ht="15.75" customHeight="1" x14ac:dyDescent="0.25">
      <c r="B298">
        <v>295</v>
      </c>
      <c r="C298" t="s">
        <v>642</v>
      </c>
      <c r="D298" s="3" t="s">
        <v>643</v>
      </c>
      <c r="E298" s="6">
        <v>192900</v>
      </c>
      <c r="F298" s="6">
        <v>68769</v>
      </c>
      <c r="G298" s="17">
        <f>ROUND(Table1[[#This Row],[pledged]]/Table1[[#This Row],[goal]]*100,2)</f>
        <v>35.65</v>
      </c>
      <c r="H298" s="5">
        <f>+Table1[[#This Row],[pledged]]/Table1[[#This Row],[goal]]</f>
        <v>0.35650077760497667</v>
      </c>
      <c r="I298" t="s">
        <v>14</v>
      </c>
      <c r="J298">
        <v>1910</v>
      </c>
      <c r="K298" s="8">
        <f>IFERROR(Table1[[#This Row],[pledged]]/Table1[[#This Row],[backers_count]],"NA")</f>
        <v>36.004712041884815</v>
      </c>
      <c r="L298" t="s">
        <v>98</v>
      </c>
      <c r="M298" t="s">
        <v>99</v>
      </c>
      <c r="N298">
        <v>1381813200</v>
      </c>
      <c r="O298">
        <v>1383976800</v>
      </c>
      <c r="P298" s="11">
        <f>+(((Table1[[#This Row],[launched_at]]/60)/60)/24)+DATE(1970,1,1)</f>
        <v>41562.208333333336</v>
      </c>
      <c r="Q298" s="11">
        <f>+(((Table1[[#This Row],[deadline]]/60)/60)/24)+DATE(1970,1,1)</f>
        <v>41587.25</v>
      </c>
      <c r="R298" t="b">
        <v>0</v>
      </c>
      <c r="S298" t="b">
        <v>0</v>
      </c>
      <c r="T298" t="s">
        <v>33</v>
      </c>
      <c r="U298" t="str">
        <f>+LEFT(Table1[[#This Row],[category &amp; sub-category]],FIND("/",Table1[[#This Row],[category &amp; sub-category]])-1)</f>
        <v>theater</v>
      </c>
      <c r="V298" t="str">
        <f>+RIGHT(Table1[[#This Row],[category &amp; sub-category]],LEN(Table1[[#This Row],[category &amp; sub-category]])-SEARCH("/",Table1[[#This Row],[category &amp; sub-category]]))</f>
        <v>plays</v>
      </c>
    </row>
    <row r="299" spans="2:22" ht="15.75" customHeight="1" x14ac:dyDescent="0.25">
      <c r="B299">
        <v>296</v>
      </c>
      <c r="C299" t="s">
        <v>644</v>
      </c>
      <c r="D299" s="3" t="s">
        <v>645</v>
      </c>
      <c r="E299" s="6">
        <v>6100</v>
      </c>
      <c r="F299" s="6">
        <v>3352</v>
      </c>
      <c r="G299" s="17">
        <f>ROUND(Table1[[#This Row],[pledged]]/Table1[[#This Row],[goal]]*100,2)</f>
        <v>54.95</v>
      </c>
      <c r="H299" s="5">
        <f>+Table1[[#This Row],[pledged]]/Table1[[#This Row],[goal]]</f>
        <v>0.54950819672131146</v>
      </c>
      <c r="I299" t="s">
        <v>14</v>
      </c>
      <c r="J299">
        <v>38</v>
      </c>
      <c r="K299" s="8">
        <f>IFERROR(Table1[[#This Row],[pledged]]/Table1[[#This Row],[backers_count]],"NA")</f>
        <v>88.21052631578948</v>
      </c>
      <c r="L299" t="s">
        <v>26</v>
      </c>
      <c r="M299" t="s">
        <v>27</v>
      </c>
      <c r="N299">
        <v>1548655200</v>
      </c>
      <c r="O299">
        <v>1550556000</v>
      </c>
      <c r="P299" s="11">
        <f>+(((Table1[[#This Row],[launched_at]]/60)/60)/24)+DATE(1970,1,1)</f>
        <v>43493.25</v>
      </c>
      <c r="Q299" s="11">
        <f>+(((Table1[[#This Row],[deadline]]/60)/60)/24)+DATE(1970,1,1)</f>
        <v>43515.25</v>
      </c>
      <c r="R299" t="b">
        <v>0</v>
      </c>
      <c r="S299" t="b">
        <v>0</v>
      </c>
      <c r="T299" t="s">
        <v>33</v>
      </c>
      <c r="U299" t="str">
        <f>+LEFT(Table1[[#This Row],[category &amp; sub-category]],FIND("/",Table1[[#This Row],[category &amp; sub-category]])-1)</f>
        <v>theater</v>
      </c>
      <c r="V299" t="str">
        <f>+RIGHT(Table1[[#This Row],[category &amp; sub-category]],LEN(Table1[[#This Row],[category &amp; sub-category]])-SEARCH("/",Table1[[#This Row],[category &amp; sub-category]]))</f>
        <v>plays</v>
      </c>
    </row>
    <row r="300" spans="2:22" ht="15.75" customHeight="1" x14ac:dyDescent="0.25">
      <c r="B300">
        <v>297</v>
      </c>
      <c r="C300" t="s">
        <v>646</v>
      </c>
      <c r="D300" s="3" t="s">
        <v>647</v>
      </c>
      <c r="E300" s="6">
        <v>7200</v>
      </c>
      <c r="F300" s="6">
        <v>6785</v>
      </c>
      <c r="G300" s="17">
        <f>ROUND(Table1[[#This Row],[pledged]]/Table1[[#This Row],[goal]]*100,2)</f>
        <v>94.24</v>
      </c>
      <c r="H300" s="5">
        <f>+Table1[[#This Row],[pledged]]/Table1[[#This Row],[goal]]</f>
        <v>0.94236111111111109</v>
      </c>
      <c r="I300" t="s">
        <v>14</v>
      </c>
      <c r="J300">
        <v>104</v>
      </c>
      <c r="K300" s="8">
        <f>IFERROR(Table1[[#This Row],[pledged]]/Table1[[#This Row],[backers_count]],"NA")</f>
        <v>65.240384615384613</v>
      </c>
      <c r="L300" t="s">
        <v>26</v>
      </c>
      <c r="M300" t="s">
        <v>27</v>
      </c>
      <c r="N300">
        <v>1389679200</v>
      </c>
      <c r="O300">
        <v>1390456800</v>
      </c>
      <c r="P300" s="11">
        <f>+(((Table1[[#This Row],[launched_at]]/60)/60)/24)+DATE(1970,1,1)</f>
        <v>41653.25</v>
      </c>
      <c r="Q300" s="11">
        <f>+(((Table1[[#This Row],[deadline]]/60)/60)/24)+DATE(1970,1,1)</f>
        <v>41662.25</v>
      </c>
      <c r="R300" t="b">
        <v>0</v>
      </c>
      <c r="S300" t="b">
        <v>1</v>
      </c>
      <c r="T300" t="s">
        <v>33</v>
      </c>
      <c r="U300" t="str">
        <f>+LEFT(Table1[[#This Row],[category &amp; sub-category]],FIND("/",Table1[[#This Row],[category &amp; sub-category]])-1)</f>
        <v>theater</v>
      </c>
      <c r="V300" t="str">
        <f>+RIGHT(Table1[[#This Row],[category &amp; sub-category]],LEN(Table1[[#This Row],[category &amp; sub-category]])-SEARCH("/",Table1[[#This Row],[category &amp; sub-category]]))</f>
        <v>plays</v>
      </c>
    </row>
    <row r="301" spans="2:22" ht="15.75" customHeight="1" x14ac:dyDescent="0.25">
      <c r="B301">
        <v>298</v>
      </c>
      <c r="C301" t="s">
        <v>648</v>
      </c>
      <c r="D301" s="3" t="s">
        <v>649</v>
      </c>
      <c r="E301" s="6">
        <v>3500</v>
      </c>
      <c r="F301" s="6">
        <v>5037</v>
      </c>
      <c r="G301" s="17">
        <f>ROUND(Table1[[#This Row],[pledged]]/Table1[[#This Row],[goal]]*100,2)</f>
        <v>143.91</v>
      </c>
      <c r="H301" s="5">
        <f>+Table1[[#This Row],[pledged]]/Table1[[#This Row],[goal]]</f>
        <v>1.4391428571428571</v>
      </c>
      <c r="I301" t="s">
        <v>20</v>
      </c>
      <c r="J301">
        <v>72</v>
      </c>
      <c r="K301" s="8">
        <f>IFERROR(Table1[[#This Row],[pledged]]/Table1[[#This Row],[backers_count]],"NA")</f>
        <v>69.958333333333329</v>
      </c>
      <c r="L301" t="s">
        <v>21</v>
      </c>
      <c r="M301" t="s">
        <v>22</v>
      </c>
      <c r="N301">
        <v>1456466400</v>
      </c>
      <c r="O301">
        <v>1458018000</v>
      </c>
      <c r="P301" s="11">
        <f>+(((Table1[[#This Row],[launched_at]]/60)/60)/24)+DATE(1970,1,1)</f>
        <v>42426.25</v>
      </c>
      <c r="Q301" s="11">
        <f>+(((Table1[[#This Row],[deadline]]/60)/60)/24)+DATE(1970,1,1)</f>
        <v>42444.208333333328</v>
      </c>
      <c r="R301" t="b">
        <v>0</v>
      </c>
      <c r="S301" t="b">
        <v>1</v>
      </c>
      <c r="T301" t="s">
        <v>23</v>
      </c>
      <c r="U301" t="str">
        <f>+LEFT(Table1[[#This Row],[category &amp; sub-category]],FIND("/",Table1[[#This Row],[category &amp; sub-category]])-1)</f>
        <v>music</v>
      </c>
      <c r="V301" t="str">
        <f>+RIGHT(Table1[[#This Row],[category &amp; sub-category]],LEN(Table1[[#This Row],[category &amp; sub-category]])-SEARCH("/",Table1[[#This Row],[category &amp; sub-category]]))</f>
        <v>rock</v>
      </c>
    </row>
    <row r="302" spans="2:22" ht="15.75" customHeight="1" x14ac:dyDescent="0.25">
      <c r="B302">
        <v>299</v>
      </c>
      <c r="C302" t="s">
        <v>650</v>
      </c>
      <c r="D302" s="3" t="s">
        <v>651</v>
      </c>
      <c r="E302" s="6">
        <v>3800</v>
      </c>
      <c r="F302" s="6">
        <v>1954</v>
      </c>
      <c r="G302" s="17">
        <f>ROUND(Table1[[#This Row],[pledged]]/Table1[[#This Row],[goal]]*100,2)</f>
        <v>51.42</v>
      </c>
      <c r="H302" s="5">
        <f>+Table1[[#This Row],[pledged]]/Table1[[#This Row],[goal]]</f>
        <v>0.51421052631578945</v>
      </c>
      <c r="I302" t="s">
        <v>14</v>
      </c>
      <c r="J302">
        <v>49</v>
      </c>
      <c r="K302" s="8">
        <f>IFERROR(Table1[[#This Row],[pledged]]/Table1[[#This Row],[backers_count]],"NA")</f>
        <v>39.877551020408163</v>
      </c>
      <c r="L302" t="s">
        <v>21</v>
      </c>
      <c r="M302" t="s">
        <v>22</v>
      </c>
      <c r="N302">
        <v>1456984800</v>
      </c>
      <c r="O302">
        <v>1461819600</v>
      </c>
      <c r="P302" s="11">
        <f>+(((Table1[[#This Row],[launched_at]]/60)/60)/24)+DATE(1970,1,1)</f>
        <v>42432.25</v>
      </c>
      <c r="Q302" s="11">
        <f>+(((Table1[[#This Row],[deadline]]/60)/60)/24)+DATE(1970,1,1)</f>
        <v>42488.208333333328</v>
      </c>
      <c r="R302" t="b">
        <v>0</v>
      </c>
      <c r="S302" t="b">
        <v>0</v>
      </c>
      <c r="T302" t="s">
        <v>17</v>
      </c>
      <c r="U302" t="str">
        <f>+LEFT(Table1[[#This Row],[category &amp; sub-category]],FIND("/",Table1[[#This Row],[category &amp; sub-category]])-1)</f>
        <v>food</v>
      </c>
      <c r="V302" t="str">
        <f>+RIGHT(Table1[[#This Row],[category &amp; sub-category]],LEN(Table1[[#This Row],[category &amp; sub-category]])-SEARCH("/",Table1[[#This Row],[category &amp; sub-category]]))</f>
        <v>food trucks</v>
      </c>
    </row>
    <row r="303" spans="2:22" ht="15.75" customHeight="1" x14ac:dyDescent="0.25">
      <c r="B303">
        <v>300</v>
      </c>
      <c r="C303" t="s">
        <v>652</v>
      </c>
      <c r="D303" s="3" t="s">
        <v>653</v>
      </c>
      <c r="E303" s="6">
        <v>100</v>
      </c>
      <c r="F303" s="6">
        <v>5</v>
      </c>
      <c r="G303" s="17">
        <f>ROUND(Table1[[#This Row],[pledged]]/Table1[[#This Row],[goal]]*100,2)</f>
        <v>5</v>
      </c>
      <c r="H303" s="5">
        <f>+Table1[[#This Row],[pledged]]/Table1[[#This Row],[goal]]</f>
        <v>0.05</v>
      </c>
      <c r="I303" t="s">
        <v>14</v>
      </c>
      <c r="J303">
        <v>1</v>
      </c>
      <c r="K303" s="8">
        <f>IFERROR(Table1[[#This Row],[pledged]]/Table1[[#This Row],[backers_count]],"NA")</f>
        <v>5</v>
      </c>
      <c r="L303" t="s">
        <v>36</v>
      </c>
      <c r="M303" t="s">
        <v>37</v>
      </c>
      <c r="N303">
        <v>1504069200</v>
      </c>
      <c r="O303">
        <v>1504155600</v>
      </c>
      <c r="P303" s="11">
        <f>+(((Table1[[#This Row],[launched_at]]/60)/60)/24)+DATE(1970,1,1)</f>
        <v>42977.208333333328</v>
      </c>
      <c r="Q303" s="11">
        <f>+(((Table1[[#This Row],[deadline]]/60)/60)/24)+DATE(1970,1,1)</f>
        <v>42978.208333333328</v>
      </c>
      <c r="R303" t="b">
        <v>0</v>
      </c>
      <c r="S303" t="b">
        <v>1</v>
      </c>
      <c r="T303" t="s">
        <v>68</v>
      </c>
      <c r="U303" t="str">
        <f>+LEFT(Table1[[#This Row],[category &amp; sub-category]],FIND("/",Table1[[#This Row],[category &amp; sub-category]])-1)</f>
        <v>publishing</v>
      </c>
      <c r="V303" t="str">
        <f>+RIGHT(Table1[[#This Row],[category &amp; sub-category]],LEN(Table1[[#This Row],[category &amp; sub-category]])-SEARCH("/",Table1[[#This Row],[category &amp; sub-category]]))</f>
        <v>nonfiction</v>
      </c>
    </row>
    <row r="304" spans="2:22" ht="15.75" customHeight="1" x14ac:dyDescent="0.25">
      <c r="B304">
        <v>301</v>
      </c>
      <c r="C304" t="s">
        <v>654</v>
      </c>
      <c r="D304" s="3" t="s">
        <v>655</v>
      </c>
      <c r="E304" s="6">
        <v>900</v>
      </c>
      <c r="F304" s="6">
        <v>12102</v>
      </c>
      <c r="G304" s="17">
        <f>ROUND(Table1[[#This Row],[pledged]]/Table1[[#This Row],[goal]]*100,2)</f>
        <v>1344.67</v>
      </c>
      <c r="H304" s="5">
        <f>+Table1[[#This Row],[pledged]]/Table1[[#This Row],[goal]]</f>
        <v>13.446666666666667</v>
      </c>
      <c r="I304" t="s">
        <v>20</v>
      </c>
      <c r="J304">
        <v>295</v>
      </c>
      <c r="K304" s="8">
        <f>IFERROR(Table1[[#This Row],[pledged]]/Table1[[#This Row],[backers_count]],"NA")</f>
        <v>41.023728813559323</v>
      </c>
      <c r="L304" t="s">
        <v>21</v>
      </c>
      <c r="M304" t="s">
        <v>22</v>
      </c>
      <c r="N304">
        <v>1424930400</v>
      </c>
      <c r="O304">
        <v>1426395600</v>
      </c>
      <c r="P304" s="11">
        <f>+(((Table1[[#This Row],[launched_at]]/60)/60)/24)+DATE(1970,1,1)</f>
        <v>42061.25</v>
      </c>
      <c r="Q304" s="11">
        <f>+(((Table1[[#This Row],[deadline]]/60)/60)/24)+DATE(1970,1,1)</f>
        <v>42078.208333333328</v>
      </c>
      <c r="R304" t="b">
        <v>0</v>
      </c>
      <c r="S304" t="b">
        <v>0</v>
      </c>
      <c r="T304" t="s">
        <v>42</v>
      </c>
      <c r="U304" t="str">
        <f>+LEFT(Table1[[#This Row],[category &amp; sub-category]],FIND("/",Table1[[#This Row],[category &amp; sub-category]])-1)</f>
        <v>film &amp; video</v>
      </c>
      <c r="V304" t="str">
        <f>+RIGHT(Table1[[#This Row],[category &amp; sub-category]],LEN(Table1[[#This Row],[category &amp; sub-category]])-SEARCH("/",Table1[[#This Row],[category &amp; sub-category]]))</f>
        <v>documentary</v>
      </c>
    </row>
    <row r="305" spans="2:22" ht="15.75" customHeight="1" x14ac:dyDescent="0.25">
      <c r="B305">
        <v>302</v>
      </c>
      <c r="C305" t="s">
        <v>656</v>
      </c>
      <c r="D305" s="3" t="s">
        <v>657</v>
      </c>
      <c r="E305" s="6">
        <v>76100</v>
      </c>
      <c r="F305" s="6">
        <v>24234</v>
      </c>
      <c r="G305" s="17">
        <f>ROUND(Table1[[#This Row],[pledged]]/Table1[[#This Row],[goal]]*100,2)</f>
        <v>31.84</v>
      </c>
      <c r="H305" s="5">
        <f>+Table1[[#This Row],[pledged]]/Table1[[#This Row],[goal]]</f>
        <v>0.31844940867279897</v>
      </c>
      <c r="I305" t="s">
        <v>14</v>
      </c>
      <c r="J305">
        <v>245</v>
      </c>
      <c r="K305" s="8">
        <f>IFERROR(Table1[[#This Row],[pledged]]/Table1[[#This Row],[backers_count]],"NA")</f>
        <v>98.914285714285711</v>
      </c>
      <c r="L305" t="s">
        <v>21</v>
      </c>
      <c r="M305" t="s">
        <v>22</v>
      </c>
      <c r="N305">
        <v>1535864400</v>
      </c>
      <c r="O305">
        <v>1537074000</v>
      </c>
      <c r="P305" s="11">
        <f>+(((Table1[[#This Row],[launched_at]]/60)/60)/24)+DATE(1970,1,1)</f>
        <v>43345.208333333328</v>
      </c>
      <c r="Q305" s="11">
        <f>+(((Table1[[#This Row],[deadline]]/60)/60)/24)+DATE(1970,1,1)</f>
        <v>43359.208333333328</v>
      </c>
      <c r="R305" t="b">
        <v>0</v>
      </c>
      <c r="S305" t="b">
        <v>0</v>
      </c>
      <c r="T305" t="s">
        <v>33</v>
      </c>
      <c r="U305" t="str">
        <f>+LEFT(Table1[[#This Row],[category &amp; sub-category]],FIND("/",Table1[[#This Row],[category &amp; sub-category]])-1)</f>
        <v>theater</v>
      </c>
      <c r="V305" t="str">
        <f>+RIGHT(Table1[[#This Row],[category &amp; sub-category]],LEN(Table1[[#This Row],[category &amp; sub-category]])-SEARCH("/",Table1[[#This Row],[category &amp; sub-category]]))</f>
        <v>plays</v>
      </c>
    </row>
    <row r="306" spans="2:22" ht="15.75" customHeight="1" x14ac:dyDescent="0.25">
      <c r="B306">
        <v>303</v>
      </c>
      <c r="C306" t="s">
        <v>658</v>
      </c>
      <c r="D306" s="3" t="s">
        <v>659</v>
      </c>
      <c r="E306" s="6">
        <v>3400</v>
      </c>
      <c r="F306" s="6">
        <v>2809</v>
      </c>
      <c r="G306" s="17">
        <f>ROUND(Table1[[#This Row],[pledged]]/Table1[[#This Row],[goal]]*100,2)</f>
        <v>82.62</v>
      </c>
      <c r="H306" s="5">
        <f>+Table1[[#This Row],[pledged]]/Table1[[#This Row],[goal]]</f>
        <v>0.82617647058823529</v>
      </c>
      <c r="I306" t="s">
        <v>14</v>
      </c>
      <c r="J306">
        <v>32</v>
      </c>
      <c r="K306" s="8">
        <f>IFERROR(Table1[[#This Row],[pledged]]/Table1[[#This Row],[backers_count]],"NA")</f>
        <v>87.78125</v>
      </c>
      <c r="L306" t="s">
        <v>21</v>
      </c>
      <c r="M306" t="s">
        <v>22</v>
      </c>
      <c r="N306">
        <v>1452146400</v>
      </c>
      <c r="O306">
        <v>1452578400</v>
      </c>
      <c r="P306" s="11">
        <f>+(((Table1[[#This Row],[launched_at]]/60)/60)/24)+DATE(1970,1,1)</f>
        <v>42376.25</v>
      </c>
      <c r="Q306" s="11">
        <f>+(((Table1[[#This Row],[deadline]]/60)/60)/24)+DATE(1970,1,1)</f>
        <v>42381.25</v>
      </c>
      <c r="R306" t="b">
        <v>0</v>
      </c>
      <c r="S306" t="b">
        <v>0</v>
      </c>
      <c r="T306" t="s">
        <v>60</v>
      </c>
      <c r="U306" t="str">
        <f>+LEFT(Table1[[#This Row],[category &amp; sub-category]],FIND("/",Table1[[#This Row],[category &amp; sub-category]])-1)</f>
        <v>music</v>
      </c>
      <c r="V306" t="str">
        <f>+RIGHT(Table1[[#This Row],[category &amp; sub-category]],LEN(Table1[[#This Row],[category &amp; sub-category]])-SEARCH("/",Table1[[#This Row],[category &amp; sub-category]]))</f>
        <v>indie rock</v>
      </c>
    </row>
    <row r="307" spans="2:22" ht="15.75" customHeight="1" x14ac:dyDescent="0.25">
      <c r="B307">
        <v>304</v>
      </c>
      <c r="C307" t="s">
        <v>660</v>
      </c>
      <c r="D307" s="3" t="s">
        <v>661</v>
      </c>
      <c r="E307" s="6">
        <v>2100</v>
      </c>
      <c r="F307" s="6">
        <v>11469</v>
      </c>
      <c r="G307" s="17">
        <f>ROUND(Table1[[#This Row],[pledged]]/Table1[[#This Row],[goal]]*100,2)</f>
        <v>546.14</v>
      </c>
      <c r="H307" s="5">
        <f>+Table1[[#This Row],[pledged]]/Table1[[#This Row],[goal]]</f>
        <v>5.4614285714285717</v>
      </c>
      <c r="I307" t="s">
        <v>20</v>
      </c>
      <c r="J307">
        <v>142</v>
      </c>
      <c r="K307" s="8">
        <f>IFERROR(Table1[[#This Row],[pledged]]/Table1[[#This Row],[backers_count]],"NA")</f>
        <v>80.767605633802816</v>
      </c>
      <c r="L307" t="s">
        <v>21</v>
      </c>
      <c r="M307" t="s">
        <v>22</v>
      </c>
      <c r="N307">
        <v>1470546000</v>
      </c>
      <c r="O307">
        <v>1474088400</v>
      </c>
      <c r="P307" s="11">
        <f>+(((Table1[[#This Row],[launched_at]]/60)/60)/24)+DATE(1970,1,1)</f>
        <v>42589.208333333328</v>
      </c>
      <c r="Q307" s="11">
        <f>+(((Table1[[#This Row],[deadline]]/60)/60)/24)+DATE(1970,1,1)</f>
        <v>42630.208333333328</v>
      </c>
      <c r="R307" t="b">
        <v>0</v>
      </c>
      <c r="S307" t="b">
        <v>0</v>
      </c>
      <c r="T307" t="s">
        <v>42</v>
      </c>
      <c r="U307" t="str">
        <f>+LEFT(Table1[[#This Row],[category &amp; sub-category]],FIND("/",Table1[[#This Row],[category &amp; sub-category]])-1)</f>
        <v>film &amp; video</v>
      </c>
      <c r="V307" t="str">
        <f>+RIGHT(Table1[[#This Row],[category &amp; sub-category]],LEN(Table1[[#This Row],[category &amp; sub-category]])-SEARCH("/",Table1[[#This Row],[category &amp; sub-category]]))</f>
        <v>documentary</v>
      </c>
    </row>
    <row r="308" spans="2:22" ht="15.75" customHeight="1" x14ac:dyDescent="0.25">
      <c r="B308">
        <v>305</v>
      </c>
      <c r="C308" t="s">
        <v>662</v>
      </c>
      <c r="D308" s="3" t="s">
        <v>663</v>
      </c>
      <c r="E308" s="6">
        <v>2800</v>
      </c>
      <c r="F308" s="6">
        <v>8014</v>
      </c>
      <c r="G308" s="17">
        <f>ROUND(Table1[[#This Row],[pledged]]/Table1[[#This Row],[goal]]*100,2)</f>
        <v>286.20999999999998</v>
      </c>
      <c r="H308" s="5">
        <f>+Table1[[#This Row],[pledged]]/Table1[[#This Row],[goal]]</f>
        <v>2.8621428571428571</v>
      </c>
      <c r="I308" t="s">
        <v>20</v>
      </c>
      <c r="J308">
        <v>85</v>
      </c>
      <c r="K308" s="8">
        <f>IFERROR(Table1[[#This Row],[pledged]]/Table1[[#This Row],[backers_count]],"NA")</f>
        <v>94.28235294117647</v>
      </c>
      <c r="L308" t="s">
        <v>21</v>
      </c>
      <c r="M308" t="s">
        <v>22</v>
      </c>
      <c r="N308">
        <v>1458363600</v>
      </c>
      <c r="O308">
        <v>1461906000</v>
      </c>
      <c r="P308" s="11">
        <f>+(((Table1[[#This Row],[launched_at]]/60)/60)/24)+DATE(1970,1,1)</f>
        <v>42448.208333333328</v>
      </c>
      <c r="Q308" s="11">
        <f>+(((Table1[[#This Row],[deadline]]/60)/60)/24)+DATE(1970,1,1)</f>
        <v>42489.208333333328</v>
      </c>
      <c r="R308" t="b">
        <v>0</v>
      </c>
      <c r="S308" t="b">
        <v>0</v>
      </c>
      <c r="T308" t="s">
        <v>33</v>
      </c>
      <c r="U308" t="str">
        <f>+LEFT(Table1[[#This Row],[category &amp; sub-category]],FIND("/",Table1[[#This Row],[category &amp; sub-category]])-1)</f>
        <v>theater</v>
      </c>
      <c r="V308" t="str">
        <f>+RIGHT(Table1[[#This Row],[category &amp; sub-category]],LEN(Table1[[#This Row],[category &amp; sub-category]])-SEARCH("/",Table1[[#This Row],[category &amp; sub-category]]))</f>
        <v>plays</v>
      </c>
    </row>
    <row r="309" spans="2:22" ht="15.75" customHeight="1" x14ac:dyDescent="0.25">
      <c r="B309">
        <v>306</v>
      </c>
      <c r="C309" t="s">
        <v>664</v>
      </c>
      <c r="D309" s="3" t="s">
        <v>665</v>
      </c>
      <c r="E309" s="6">
        <v>6500</v>
      </c>
      <c r="F309" s="6">
        <v>514</v>
      </c>
      <c r="G309" s="17">
        <f>ROUND(Table1[[#This Row],[pledged]]/Table1[[#This Row],[goal]]*100,2)</f>
        <v>7.91</v>
      </c>
      <c r="H309" s="5">
        <f>+Table1[[#This Row],[pledged]]/Table1[[#This Row],[goal]]</f>
        <v>7.9076923076923072E-2</v>
      </c>
      <c r="I309" t="s">
        <v>14</v>
      </c>
      <c r="J309">
        <v>7</v>
      </c>
      <c r="K309" s="8">
        <f>IFERROR(Table1[[#This Row],[pledged]]/Table1[[#This Row],[backers_count]],"NA")</f>
        <v>73.428571428571431</v>
      </c>
      <c r="L309" t="s">
        <v>21</v>
      </c>
      <c r="M309" t="s">
        <v>22</v>
      </c>
      <c r="N309">
        <v>1500008400</v>
      </c>
      <c r="O309">
        <v>1500267600</v>
      </c>
      <c r="P309" s="11">
        <f>+(((Table1[[#This Row],[launched_at]]/60)/60)/24)+DATE(1970,1,1)</f>
        <v>42930.208333333328</v>
      </c>
      <c r="Q309" s="11">
        <f>+(((Table1[[#This Row],[deadline]]/60)/60)/24)+DATE(1970,1,1)</f>
        <v>42933.208333333328</v>
      </c>
      <c r="R309" t="b">
        <v>0</v>
      </c>
      <c r="S309" t="b">
        <v>1</v>
      </c>
      <c r="T309" t="s">
        <v>33</v>
      </c>
      <c r="U309" t="str">
        <f>+LEFT(Table1[[#This Row],[category &amp; sub-category]],FIND("/",Table1[[#This Row],[category &amp; sub-category]])-1)</f>
        <v>theater</v>
      </c>
      <c r="V309" t="str">
        <f>+RIGHT(Table1[[#This Row],[category &amp; sub-category]],LEN(Table1[[#This Row],[category &amp; sub-category]])-SEARCH("/",Table1[[#This Row],[category &amp; sub-category]]))</f>
        <v>plays</v>
      </c>
    </row>
    <row r="310" spans="2:22" ht="15.75" customHeight="1" x14ac:dyDescent="0.25">
      <c r="B310">
        <v>307</v>
      </c>
      <c r="C310" t="s">
        <v>666</v>
      </c>
      <c r="D310" s="3" t="s">
        <v>667</v>
      </c>
      <c r="E310" s="6">
        <v>32900</v>
      </c>
      <c r="F310" s="6">
        <v>43473</v>
      </c>
      <c r="G310" s="17">
        <f>ROUND(Table1[[#This Row],[pledged]]/Table1[[#This Row],[goal]]*100,2)</f>
        <v>132.13999999999999</v>
      </c>
      <c r="H310" s="5">
        <f>+Table1[[#This Row],[pledged]]/Table1[[#This Row],[goal]]</f>
        <v>1.3213677811550153</v>
      </c>
      <c r="I310" t="s">
        <v>20</v>
      </c>
      <c r="J310">
        <v>659</v>
      </c>
      <c r="K310" s="8">
        <f>IFERROR(Table1[[#This Row],[pledged]]/Table1[[#This Row],[backers_count]],"NA")</f>
        <v>65.968133535660087</v>
      </c>
      <c r="L310" t="s">
        <v>36</v>
      </c>
      <c r="M310" t="s">
        <v>37</v>
      </c>
      <c r="N310">
        <v>1338958800</v>
      </c>
      <c r="O310">
        <v>1340686800</v>
      </c>
      <c r="P310" s="11">
        <f>+(((Table1[[#This Row],[launched_at]]/60)/60)/24)+DATE(1970,1,1)</f>
        <v>41066.208333333336</v>
      </c>
      <c r="Q310" s="11">
        <f>+(((Table1[[#This Row],[deadline]]/60)/60)/24)+DATE(1970,1,1)</f>
        <v>41086.208333333336</v>
      </c>
      <c r="R310" t="b">
        <v>0</v>
      </c>
      <c r="S310" t="b">
        <v>1</v>
      </c>
      <c r="T310" t="s">
        <v>119</v>
      </c>
      <c r="U310" t="str">
        <f>+LEFT(Table1[[#This Row],[category &amp; sub-category]],FIND("/",Table1[[#This Row],[category &amp; sub-category]])-1)</f>
        <v>publishing</v>
      </c>
      <c r="V310" t="str">
        <f>+RIGHT(Table1[[#This Row],[category &amp; sub-category]],LEN(Table1[[#This Row],[category &amp; sub-category]])-SEARCH("/",Table1[[#This Row],[category &amp; sub-category]]))</f>
        <v>fiction</v>
      </c>
    </row>
    <row r="311" spans="2:22" ht="15.75" customHeight="1" x14ac:dyDescent="0.25">
      <c r="B311">
        <v>308</v>
      </c>
      <c r="C311" t="s">
        <v>668</v>
      </c>
      <c r="D311" s="3" t="s">
        <v>669</v>
      </c>
      <c r="E311" s="6">
        <v>118200</v>
      </c>
      <c r="F311" s="6">
        <v>87560</v>
      </c>
      <c r="G311" s="17">
        <f>ROUND(Table1[[#This Row],[pledged]]/Table1[[#This Row],[goal]]*100,2)</f>
        <v>74.08</v>
      </c>
      <c r="H311" s="5">
        <f>+Table1[[#This Row],[pledged]]/Table1[[#This Row],[goal]]</f>
        <v>0.74077834179357027</v>
      </c>
      <c r="I311" t="s">
        <v>14</v>
      </c>
      <c r="J311">
        <v>803</v>
      </c>
      <c r="K311" s="8">
        <f>IFERROR(Table1[[#This Row],[pledged]]/Table1[[#This Row],[backers_count]],"NA")</f>
        <v>109.04109589041096</v>
      </c>
      <c r="L311" t="s">
        <v>21</v>
      </c>
      <c r="M311" t="s">
        <v>22</v>
      </c>
      <c r="N311">
        <v>1303102800</v>
      </c>
      <c r="O311">
        <v>1303189200</v>
      </c>
      <c r="P311" s="11">
        <f>+(((Table1[[#This Row],[launched_at]]/60)/60)/24)+DATE(1970,1,1)</f>
        <v>40651.208333333336</v>
      </c>
      <c r="Q311" s="11">
        <f>+(((Table1[[#This Row],[deadline]]/60)/60)/24)+DATE(1970,1,1)</f>
        <v>40652.208333333336</v>
      </c>
      <c r="R311" t="b">
        <v>0</v>
      </c>
      <c r="S311" t="b">
        <v>0</v>
      </c>
      <c r="T311" t="s">
        <v>33</v>
      </c>
      <c r="U311" t="str">
        <f>+LEFT(Table1[[#This Row],[category &amp; sub-category]],FIND("/",Table1[[#This Row],[category &amp; sub-category]])-1)</f>
        <v>theater</v>
      </c>
      <c r="V311" t="str">
        <f>+RIGHT(Table1[[#This Row],[category &amp; sub-category]],LEN(Table1[[#This Row],[category &amp; sub-category]])-SEARCH("/",Table1[[#This Row],[category &amp; sub-category]]))</f>
        <v>plays</v>
      </c>
    </row>
    <row r="312" spans="2:22" ht="15.75" customHeight="1" x14ac:dyDescent="0.25">
      <c r="B312">
        <v>309</v>
      </c>
      <c r="C312" t="s">
        <v>670</v>
      </c>
      <c r="D312" s="3" t="s">
        <v>671</v>
      </c>
      <c r="E312" s="6">
        <v>4100</v>
      </c>
      <c r="F312" s="6">
        <v>3087</v>
      </c>
      <c r="G312" s="17">
        <f>ROUND(Table1[[#This Row],[pledged]]/Table1[[#This Row],[goal]]*100,2)</f>
        <v>75.290000000000006</v>
      </c>
      <c r="H312" s="5">
        <f>+Table1[[#This Row],[pledged]]/Table1[[#This Row],[goal]]</f>
        <v>0.75292682926829269</v>
      </c>
      <c r="I312" t="s">
        <v>74</v>
      </c>
      <c r="J312">
        <v>75</v>
      </c>
      <c r="K312" s="8">
        <f>IFERROR(Table1[[#This Row],[pledged]]/Table1[[#This Row],[backers_count]],"NA")</f>
        <v>41.16</v>
      </c>
      <c r="L312" t="s">
        <v>21</v>
      </c>
      <c r="M312" t="s">
        <v>22</v>
      </c>
      <c r="N312">
        <v>1316581200</v>
      </c>
      <c r="O312">
        <v>1318309200</v>
      </c>
      <c r="P312" s="11">
        <f>+(((Table1[[#This Row],[launched_at]]/60)/60)/24)+DATE(1970,1,1)</f>
        <v>40807.208333333336</v>
      </c>
      <c r="Q312" s="11">
        <f>+(((Table1[[#This Row],[deadline]]/60)/60)/24)+DATE(1970,1,1)</f>
        <v>40827.208333333336</v>
      </c>
      <c r="R312" t="b">
        <v>0</v>
      </c>
      <c r="S312" t="b">
        <v>1</v>
      </c>
      <c r="T312" t="s">
        <v>60</v>
      </c>
      <c r="U312" t="str">
        <f>+LEFT(Table1[[#This Row],[category &amp; sub-category]],FIND("/",Table1[[#This Row],[category &amp; sub-category]])-1)</f>
        <v>music</v>
      </c>
      <c r="V312" t="str">
        <f>+RIGHT(Table1[[#This Row],[category &amp; sub-category]],LEN(Table1[[#This Row],[category &amp; sub-category]])-SEARCH("/",Table1[[#This Row],[category &amp; sub-category]]))</f>
        <v>indie rock</v>
      </c>
    </row>
    <row r="313" spans="2:22" ht="15.75" customHeight="1" x14ac:dyDescent="0.25">
      <c r="B313">
        <v>310</v>
      </c>
      <c r="C313" t="s">
        <v>672</v>
      </c>
      <c r="D313" s="3" t="s">
        <v>673</v>
      </c>
      <c r="E313" s="6">
        <v>7800</v>
      </c>
      <c r="F313" s="6">
        <v>1586</v>
      </c>
      <c r="G313" s="17">
        <f>ROUND(Table1[[#This Row],[pledged]]/Table1[[#This Row],[goal]]*100,2)</f>
        <v>20.329999999999998</v>
      </c>
      <c r="H313" s="5">
        <f>+Table1[[#This Row],[pledged]]/Table1[[#This Row],[goal]]</f>
        <v>0.20333333333333334</v>
      </c>
      <c r="I313" t="s">
        <v>14</v>
      </c>
      <c r="J313">
        <v>16</v>
      </c>
      <c r="K313" s="8">
        <f>IFERROR(Table1[[#This Row],[pledged]]/Table1[[#This Row],[backers_count]],"NA")</f>
        <v>99.125</v>
      </c>
      <c r="L313" t="s">
        <v>21</v>
      </c>
      <c r="M313" t="s">
        <v>22</v>
      </c>
      <c r="N313">
        <v>1270789200</v>
      </c>
      <c r="O313">
        <v>1272171600</v>
      </c>
      <c r="P313" s="11">
        <f>+(((Table1[[#This Row],[launched_at]]/60)/60)/24)+DATE(1970,1,1)</f>
        <v>40277.208333333336</v>
      </c>
      <c r="Q313" s="11">
        <f>+(((Table1[[#This Row],[deadline]]/60)/60)/24)+DATE(1970,1,1)</f>
        <v>40293.208333333336</v>
      </c>
      <c r="R313" t="b">
        <v>0</v>
      </c>
      <c r="S313" t="b">
        <v>0</v>
      </c>
      <c r="T313" t="s">
        <v>89</v>
      </c>
      <c r="U313" t="str">
        <f>+LEFT(Table1[[#This Row],[category &amp; sub-category]],FIND("/",Table1[[#This Row],[category &amp; sub-category]])-1)</f>
        <v>games</v>
      </c>
      <c r="V313" t="str">
        <f>+RIGHT(Table1[[#This Row],[category &amp; sub-category]],LEN(Table1[[#This Row],[category &amp; sub-category]])-SEARCH("/",Table1[[#This Row],[category &amp; sub-category]]))</f>
        <v>video games</v>
      </c>
    </row>
    <row r="314" spans="2:22" ht="15.75" customHeight="1" x14ac:dyDescent="0.25">
      <c r="B314">
        <v>311</v>
      </c>
      <c r="C314" t="s">
        <v>674</v>
      </c>
      <c r="D314" s="3" t="s">
        <v>675</v>
      </c>
      <c r="E314" s="6">
        <v>6300</v>
      </c>
      <c r="F314" s="6">
        <v>12812</v>
      </c>
      <c r="G314" s="17">
        <f>ROUND(Table1[[#This Row],[pledged]]/Table1[[#This Row],[goal]]*100,2)</f>
        <v>203.37</v>
      </c>
      <c r="H314" s="5">
        <f>+Table1[[#This Row],[pledged]]/Table1[[#This Row],[goal]]</f>
        <v>2.0336507936507937</v>
      </c>
      <c r="I314" t="s">
        <v>20</v>
      </c>
      <c r="J314">
        <v>121</v>
      </c>
      <c r="K314" s="8">
        <f>IFERROR(Table1[[#This Row],[pledged]]/Table1[[#This Row],[backers_count]],"NA")</f>
        <v>105.88429752066116</v>
      </c>
      <c r="L314" t="s">
        <v>21</v>
      </c>
      <c r="M314" t="s">
        <v>22</v>
      </c>
      <c r="N314">
        <v>1297836000</v>
      </c>
      <c r="O314">
        <v>1298872800</v>
      </c>
      <c r="P314" s="11">
        <f>+(((Table1[[#This Row],[launched_at]]/60)/60)/24)+DATE(1970,1,1)</f>
        <v>40590.25</v>
      </c>
      <c r="Q314" s="11">
        <f>+(((Table1[[#This Row],[deadline]]/60)/60)/24)+DATE(1970,1,1)</f>
        <v>40602.25</v>
      </c>
      <c r="R314" t="b">
        <v>0</v>
      </c>
      <c r="S314" t="b">
        <v>0</v>
      </c>
      <c r="T314" t="s">
        <v>33</v>
      </c>
      <c r="U314" t="str">
        <f>+LEFT(Table1[[#This Row],[category &amp; sub-category]],FIND("/",Table1[[#This Row],[category &amp; sub-category]])-1)</f>
        <v>theater</v>
      </c>
      <c r="V314" t="str">
        <f>+RIGHT(Table1[[#This Row],[category &amp; sub-category]],LEN(Table1[[#This Row],[category &amp; sub-category]])-SEARCH("/",Table1[[#This Row],[category &amp; sub-category]]))</f>
        <v>plays</v>
      </c>
    </row>
    <row r="315" spans="2:22" ht="15.75" customHeight="1" x14ac:dyDescent="0.25">
      <c r="B315">
        <v>312</v>
      </c>
      <c r="C315" t="s">
        <v>676</v>
      </c>
      <c r="D315" s="3" t="s">
        <v>677</v>
      </c>
      <c r="E315" s="6">
        <v>59100</v>
      </c>
      <c r="F315" s="6">
        <v>183345</v>
      </c>
      <c r="G315" s="17">
        <f>ROUND(Table1[[#This Row],[pledged]]/Table1[[#This Row],[goal]]*100,2)</f>
        <v>310.23</v>
      </c>
      <c r="H315" s="5">
        <f>+Table1[[#This Row],[pledged]]/Table1[[#This Row],[goal]]</f>
        <v>3.1022842639593908</v>
      </c>
      <c r="I315" t="s">
        <v>20</v>
      </c>
      <c r="J315">
        <v>3742</v>
      </c>
      <c r="K315" s="8">
        <f>IFERROR(Table1[[#This Row],[pledged]]/Table1[[#This Row],[backers_count]],"NA")</f>
        <v>48.996525921966864</v>
      </c>
      <c r="L315" t="s">
        <v>21</v>
      </c>
      <c r="M315" t="s">
        <v>22</v>
      </c>
      <c r="N315">
        <v>1382677200</v>
      </c>
      <c r="O315">
        <v>1383282000</v>
      </c>
      <c r="P315" s="11">
        <f>+(((Table1[[#This Row],[launched_at]]/60)/60)/24)+DATE(1970,1,1)</f>
        <v>41572.208333333336</v>
      </c>
      <c r="Q315" s="11">
        <f>+(((Table1[[#This Row],[deadline]]/60)/60)/24)+DATE(1970,1,1)</f>
        <v>41579.208333333336</v>
      </c>
      <c r="R315" t="b">
        <v>0</v>
      </c>
      <c r="S315" t="b">
        <v>0</v>
      </c>
      <c r="T315" t="s">
        <v>33</v>
      </c>
      <c r="U315" t="str">
        <f>+LEFT(Table1[[#This Row],[category &amp; sub-category]],FIND("/",Table1[[#This Row],[category &amp; sub-category]])-1)</f>
        <v>theater</v>
      </c>
      <c r="V315" t="str">
        <f>+RIGHT(Table1[[#This Row],[category &amp; sub-category]],LEN(Table1[[#This Row],[category &amp; sub-category]])-SEARCH("/",Table1[[#This Row],[category &amp; sub-category]]))</f>
        <v>plays</v>
      </c>
    </row>
    <row r="316" spans="2:22" ht="15.75" customHeight="1" x14ac:dyDescent="0.25">
      <c r="B316">
        <v>313</v>
      </c>
      <c r="C316" t="s">
        <v>678</v>
      </c>
      <c r="D316" s="3" t="s">
        <v>679</v>
      </c>
      <c r="E316" s="6">
        <v>2200</v>
      </c>
      <c r="F316" s="6">
        <v>8697</v>
      </c>
      <c r="G316" s="17">
        <f>ROUND(Table1[[#This Row],[pledged]]/Table1[[#This Row],[goal]]*100,2)</f>
        <v>395.32</v>
      </c>
      <c r="H316" s="5">
        <f>+Table1[[#This Row],[pledged]]/Table1[[#This Row],[goal]]</f>
        <v>3.9531818181818181</v>
      </c>
      <c r="I316" t="s">
        <v>20</v>
      </c>
      <c r="J316">
        <v>223</v>
      </c>
      <c r="K316" s="8">
        <f>IFERROR(Table1[[#This Row],[pledged]]/Table1[[#This Row],[backers_count]],"NA")</f>
        <v>39</v>
      </c>
      <c r="L316" t="s">
        <v>21</v>
      </c>
      <c r="M316" t="s">
        <v>22</v>
      </c>
      <c r="N316">
        <v>1330322400</v>
      </c>
      <c r="O316">
        <v>1330495200</v>
      </c>
      <c r="P316" s="11">
        <f>+(((Table1[[#This Row],[launched_at]]/60)/60)/24)+DATE(1970,1,1)</f>
        <v>40966.25</v>
      </c>
      <c r="Q316" s="11">
        <f>+(((Table1[[#This Row],[deadline]]/60)/60)/24)+DATE(1970,1,1)</f>
        <v>40968.25</v>
      </c>
      <c r="R316" t="b">
        <v>0</v>
      </c>
      <c r="S316" t="b">
        <v>0</v>
      </c>
      <c r="T316" t="s">
        <v>23</v>
      </c>
      <c r="U316" t="str">
        <f>+LEFT(Table1[[#This Row],[category &amp; sub-category]],FIND("/",Table1[[#This Row],[category &amp; sub-category]])-1)</f>
        <v>music</v>
      </c>
      <c r="V316" t="str">
        <f>+RIGHT(Table1[[#This Row],[category &amp; sub-category]],LEN(Table1[[#This Row],[category &amp; sub-category]])-SEARCH("/",Table1[[#This Row],[category &amp; sub-category]]))</f>
        <v>rock</v>
      </c>
    </row>
    <row r="317" spans="2:22" ht="15.75" customHeight="1" x14ac:dyDescent="0.25">
      <c r="B317">
        <v>314</v>
      </c>
      <c r="C317" t="s">
        <v>680</v>
      </c>
      <c r="D317" s="3" t="s">
        <v>681</v>
      </c>
      <c r="E317" s="6">
        <v>1400</v>
      </c>
      <c r="F317" s="6">
        <v>4126</v>
      </c>
      <c r="G317" s="17">
        <f>ROUND(Table1[[#This Row],[pledged]]/Table1[[#This Row],[goal]]*100,2)</f>
        <v>294.70999999999998</v>
      </c>
      <c r="H317" s="5">
        <f>+Table1[[#This Row],[pledged]]/Table1[[#This Row],[goal]]</f>
        <v>2.9471428571428571</v>
      </c>
      <c r="I317" t="s">
        <v>20</v>
      </c>
      <c r="J317">
        <v>133</v>
      </c>
      <c r="K317" s="8">
        <f>IFERROR(Table1[[#This Row],[pledged]]/Table1[[#This Row],[backers_count]],"NA")</f>
        <v>31.022556390977442</v>
      </c>
      <c r="L317" t="s">
        <v>21</v>
      </c>
      <c r="M317" t="s">
        <v>22</v>
      </c>
      <c r="N317">
        <v>1552366800</v>
      </c>
      <c r="O317">
        <v>1552798800</v>
      </c>
      <c r="P317" s="11">
        <f>+(((Table1[[#This Row],[launched_at]]/60)/60)/24)+DATE(1970,1,1)</f>
        <v>43536.208333333328</v>
      </c>
      <c r="Q317" s="11">
        <f>+(((Table1[[#This Row],[deadline]]/60)/60)/24)+DATE(1970,1,1)</f>
        <v>43541.208333333328</v>
      </c>
      <c r="R317" t="b">
        <v>0</v>
      </c>
      <c r="S317" t="b">
        <v>1</v>
      </c>
      <c r="T317" t="s">
        <v>42</v>
      </c>
      <c r="U317" t="str">
        <f>+LEFT(Table1[[#This Row],[category &amp; sub-category]],FIND("/",Table1[[#This Row],[category &amp; sub-category]])-1)</f>
        <v>film &amp; video</v>
      </c>
      <c r="V317" t="str">
        <f>+RIGHT(Table1[[#This Row],[category &amp; sub-category]],LEN(Table1[[#This Row],[category &amp; sub-category]])-SEARCH("/",Table1[[#This Row],[category &amp; sub-category]]))</f>
        <v>documentary</v>
      </c>
    </row>
    <row r="318" spans="2:22" ht="15.75" customHeight="1" x14ac:dyDescent="0.25">
      <c r="B318">
        <v>315</v>
      </c>
      <c r="C318" t="s">
        <v>682</v>
      </c>
      <c r="D318" s="3" t="s">
        <v>683</v>
      </c>
      <c r="E318" s="6">
        <v>9500</v>
      </c>
      <c r="F318" s="6">
        <v>3220</v>
      </c>
      <c r="G318" s="17">
        <f>ROUND(Table1[[#This Row],[pledged]]/Table1[[#This Row],[goal]]*100,2)</f>
        <v>33.89</v>
      </c>
      <c r="H318" s="5">
        <f>+Table1[[#This Row],[pledged]]/Table1[[#This Row],[goal]]</f>
        <v>0.33894736842105261</v>
      </c>
      <c r="I318" t="s">
        <v>14</v>
      </c>
      <c r="J318">
        <v>31</v>
      </c>
      <c r="K318" s="8">
        <f>IFERROR(Table1[[#This Row],[pledged]]/Table1[[#This Row],[backers_count]],"NA")</f>
        <v>103.87096774193549</v>
      </c>
      <c r="L318" t="s">
        <v>21</v>
      </c>
      <c r="M318" t="s">
        <v>22</v>
      </c>
      <c r="N318">
        <v>1400907600</v>
      </c>
      <c r="O318">
        <v>1403413200</v>
      </c>
      <c r="P318" s="11">
        <f>+(((Table1[[#This Row],[launched_at]]/60)/60)/24)+DATE(1970,1,1)</f>
        <v>41783.208333333336</v>
      </c>
      <c r="Q318" s="11">
        <f>+(((Table1[[#This Row],[deadline]]/60)/60)/24)+DATE(1970,1,1)</f>
        <v>41812.208333333336</v>
      </c>
      <c r="R318" t="b">
        <v>0</v>
      </c>
      <c r="S318" t="b">
        <v>0</v>
      </c>
      <c r="T318" t="s">
        <v>33</v>
      </c>
      <c r="U318" t="str">
        <f>+LEFT(Table1[[#This Row],[category &amp; sub-category]],FIND("/",Table1[[#This Row],[category &amp; sub-category]])-1)</f>
        <v>theater</v>
      </c>
      <c r="V318" t="str">
        <f>+RIGHT(Table1[[#This Row],[category &amp; sub-category]],LEN(Table1[[#This Row],[category &amp; sub-category]])-SEARCH("/",Table1[[#This Row],[category &amp; sub-category]]))</f>
        <v>plays</v>
      </c>
    </row>
    <row r="319" spans="2:22" ht="15.75" customHeight="1" x14ac:dyDescent="0.25">
      <c r="B319">
        <v>316</v>
      </c>
      <c r="C319" t="s">
        <v>684</v>
      </c>
      <c r="D319" s="3" t="s">
        <v>685</v>
      </c>
      <c r="E319" s="6">
        <v>9600</v>
      </c>
      <c r="F319" s="6">
        <v>6401</v>
      </c>
      <c r="G319" s="17">
        <f>ROUND(Table1[[#This Row],[pledged]]/Table1[[#This Row],[goal]]*100,2)</f>
        <v>66.680000000000007</v>
      </c>
      <c r="H319" s="5">
        <f>+Table1[[#This Row],[pledged]]/Table1[[#This Row],[goal]]</f>
        <v>0.66677083333333331</v>
      </c>
      <c r="I319" t="s">
        <v>14</v>
      </c>
      <c r="J319">
        <v>108</v>
      </c>
      <c r="K319" s="8">
        <f>IFERROR(Table1[[#This Row],[pledged]]/Table1[[#This Row],[backers_count]],"NA")</f>
        <v>59.268518518518519</v>
      </c>
      <c r="L319" t="s">
        <v>107</v>
      </c>
      <c r="M319" t="s">
        <v>108</v>
      </c>
      <c r="N319">
        <v>1574143200</v>
      </c>
      <c r="O319">
        <v>1574229600</v>
      </c>
      <c r="P319" s="11">
        <f>+(((Table1[[#This Row],[launched_at]]/60)/60)/24)+DATE(1970,1,1)</f>
        <v>43788.25</v>
      </c>
      <c r="Q319" s="11">
        <f>+(((Table1[[#This Row],[deadline]]/60)/60)/24)+DATE(1970,1,1)</f>
        <v>43789.25</v>
      </c>
      <c r="R319" t="b">
        <v>0</v>
      </c>
      <c r="S319" t="b">
        <v>1</v>
      </c>
      <c r="T319" t="s">
        <v>17</v>
      </c>
      <c r="U319" t="str">
        <f>+LEFT(Table1[[#This Row],[category &amp; sub-category]],FIND("/",Table1[[#This Row],[category &amp; sub-category]])-1)</f>
        <v>food</v>
      </c>
      <c r="V319" t="str">
        <f>+RIGHT(Table1[[#This Row],[category &amp; sub-category]],LEN(Table1[[#This Row],[category &amp; sub-category]])-SEARCH("/",Table1[[#This Row],[category &amp; sub-category]]))</f>
        <v>food trucks</v>
      </c>
    </row>
    <row r="320" spans="2:22" ht="15.75" customHeight="1" x14ac:dyDescent="0.25">
      <c r="B320">
        <v>317</v>
      </c>
      <c r="C320" t="s">
        <v>686</v>
      </c>
      <c r="D320" s="3" t="s">
        <v>687</v>
      </c>
      <c r="E320" s="6">
        <v>6600</v>
      </c>
      <c r="F320" s="6">
        <v>1269</v>
      </c>
      <c r="G320" s="17">
        <f>ROUND(Table1[[#This Row],[pledged]]/Table1[[#This Row],[goal]]*100,2)</f>
        <v>19.23</v>
      </c>
      <c r="H320" s="5">
        <f>+Table1[[#This Row],[pledged]]/Table1[[#This Row],[goal]]</f>
        <v>0.19227272727272726</v>
      </c>
      <c r="I320" t="s">
        <v>14</v>
      </c>
      <c r="J320">
        <v>30</v>
      </c>
      <c r="K320" s="8">
        <f>IFERROR(Table1[[#This Row],[pledged]]/Table1[[#This Row],[backers_count]],"NA")</f>
        <v>42.3</v>
      </c>
      <c r="L320" t="s">
        <v>21</v>
      </c>
      <c r="M320" t="s">
        <v>22</v>
      </c>
      <c r="N320">
        <v>1494738000</v>
      </c>
      <c r="O320">
        <v>1495861200</v>
      </c>
      <c r="P320" s="11">
        <f>+(((Table1[[#This Row],[launched_at]]/60)/60)/24)+DATE(1970,1,1)</f>
        <v>42869.208333333328</v>
      </c>
      <c r="Q320" s="11">
        <f>+(((Table1[[#This Row],[deadline]]/60)/60)/24)+DATE(1970,1,1)</f>
        <v>42882.208333333328</v>
      </c>
      <c r="R320" t="b">
        <v>0</v>
      </c>
      <c r="S320" t="b">
        <v>0</v>
      </c>
      <c r="T320" t="s">
        <v>33</v>
      </c>
      <c r="U320" t="str">
        <f>+LEFT(Table1[[#This Row],[category &amp; sub-category]],FIND("/",Table1[[#This Row],[category &amp; sub-category]])-1)</f>
        <v>theater</v>
      </c>
      <c r="V320" t="str">
        <f>+RIGHT(Table1[[#This Row],[category &amp; sub-category]],LEN(Table1[[#This Row],[category &amp; sub-category]])-SEARCH("/",Table1[[#This Row],[category &amp; sub-category]]))</f>
        <v>plays</v>
      </c>
    </row>
    <row r="321" spans="2:22" ht="15.75" customHeight="1" x14ac:dyDescent="0.25">
      <c r="B321">
        <v>318</v>
      </c>
      <c r="C321" t="s">
        <v>688</v>
      </c>
      <c r="D321" s="3" t="s">
        <v>689</v>
      </c>
      <c r="E321" s="6">
        <v>5700</v>
      </c>
      <c r="F321" s="6">
        <v>903</v>
      </c>
      <c r="G321" s="17">
        <f>ROUND(Table1[[#This Row],[pledged]]/Table1[[#This Row],[goal]]*100,2)</f>
        <v>15.84</v>
      </c>
      <c r="H321" s="5">
        <f>+Table1[[#This Row],[pledged]]/Table1[[#This Row],[goal]]</f>
        <v>0.15842105263157893</v>
      </c>
      <c r="I321" t="s">
        <v>14</v>
      </c>
      <c r="J321">
        <v>17</v>
      </c>
      <c r="K321" s="8">
        <f>IFERROR(Table1[[#This Row],[pledged]]/Table1[[#This Row],[backers_count]],"NA")</f>
        <v>53.117647058823529</v>
      </c>
      <c r="L321" t="s">
        <v>21</v>
      </c>
      <c r="M321" t="s">
        <v>22</v>
      </c>
      <c r="N321">
        <v>1392357600</v>
      </c>
      <c r="O321">
        <v>1392530400</v>
      </c>
      <c r="P321" s="11">
        <f>+(((Table1[[#This Row],[launched_at]]/60)/60)/24)+DATE(1970,1,1)</f>
        <v>41684.25</v>
      </c>
      <c r="Q321" s="11">
        <f>+(((Table1[[#This Row],[deadline]]/60)/60)/24)+DATE(1970,1,1)</f>
        <v>41686.25</v>
      </c>
      <c r="R321" t="b">
        <v>0</v>
      </c>
      <c r="S321" t="b">
        <v>0</v>
      </c>
      <c r="T321" t="s">
        <v>23</v>
      </c>
      <c r="U321" t="str">
        <f>+LEFT(Table1[[#This Row],[category &amp; sub-category]],FIND("/",Table1[[#This Row],[category &amp; sub-category]])-1)</f>
        <v>music</v>
      </c>
      <c r="V321" t="str">
        <f>+RIGHT(Table1[[#This Row],[category &amp; sub-category]],LEN(Table1[[#This Row],[category &amp; sub-category]])-SEARCH("/",Table1[[#This Row],[category &amp; sub-category]]))</f>
        <v>rock</v>
      </c>
    </row>
    <row r="322" spans="2:22" ht="15.75" customHeight="1" x14ac:dyDescent="0.25">
      <c r="B322">
        <v>319</v>
      </c>
      <c r="C322" t="s">
        <v>690</v>
      </c>
      <c r="D322" s="3" t="s">
        <v>691</v>
      </c>
      <c r="E322" s="6">
        <v>8400</v>
      </c>
      <c r="F322" s="6">
        <v>3251</v>
      </c>
      <c r="G322" s="17">
        <f>ROUND(Table1[[#This Row],[pledged]]/Table1[[#This Row],[goal]]*100,2)</f>
        <v>38.700000000000003</v>
      </c>
      <c r="H322" s="5">
        <f>+Table1[[#This Row],[pledged]]/Table1[[#This Row],[goal]]</f>
        <v>0.38702380952380955</v>
      </c>
      <c r="I322" t="s">
        <v>74</v>
      </c>
      <c r="J322">
        <v>64</v>
      </c>
      <c r="K322" s="8">
        <f>IFERROR(Table1[[#This Row],[pledged]]/Table1[[#This Row],[backers_count]],"NA")</f>
        <v>50.796875</v>
      </c>
      <c r="L322" t="s">
        <v>21</v>
      </c>
      <c r="M322" t="s">
        <v>22</v>
      </c>
      <c r="N322">
        <v>1281589200</v>
      </c>
      <c r="O322">
        <v>1283662800</v>
      </c>
      <c r="P322" s="11">
        <f>+(((Table1[[#This Row],[launched_at]]/60)/60)/24)+DATE(1970,1,1)</f>
        <v>40402.208333333336</v>
      </c>
      <c r="Q322" s="11">
        <f>+(((Table1[[#This Row],[deadline]]/60)/60)/24)+DATE(1970,1,1)</f>
        <v>40426.208333333336</v>
      </c>
      <c r="R322" t="b">
        <v>0</v>
      </c>
      <c r="S322" t="b">
        <v>0</v>
      </c>
      <c r="T322" t="s">
        <v>28</v>
      </c>
      <c r="U322" t="str">
        <f>+LEFT(Table1[[#This Row],[category &amp; sub-category]],FIND("/",Table1[[#This Row],[category &amp; sub-category]])-1)</f>
        <v>technology</v>
      </c>
      <c r="V322" t="str">
        <f>+RIGHT(Table1[[#This Row],[category &amp; sub-category]],LEN(Table1[[#This Row],[category &amp; sub-category]])-SEARCH("/",Table1[[#This Row],[category &amp; sub-category]]))</f>
        <v>web</v>
      </c>
    </row>
    <row r="323" spans="2:22" ht="15.75" customHeight="1" x14ac:dyDescent="0.25">
      <c r="B323">
        <v>320</v>
      </c>
      <c r="C323" t="s">
        <v>692</v>
      </c>
      <c r="D323" s="3" t="s">
        <v>693</v>
      </c>
      <c r="E323" s="6">
        <v>84400</v>
      </c>
      <c r="F323" s="6">
        <v>8092</v>
      </c>
      <c r="G323" s="17">
        <f>ROUND(Table1[[#This Row],[pledged]]/Table1[[#This Row],[goal]]*100,2)</f>
        <v>9.59</v>
      </c>
      <c r="H323" s="5">
        <f>+Table1[[#This Row],[pledged]]/Table1[[#This Row],[goal]]</f>
        <v>9.5876777251184833E-2</v>
      </c>
      <c r="I323" t="s">
        <v>14</v>
      </c>
      <c r="J323">
        <v>80</v>
      </c>
      <c r="K323" s="8">
        <f>IFERROR(Table1[[#This Row],[pledged]]/Table1[[#This Row],[backers_count]],"NA")</f>
        <v>101.15</v>
      </c>
      <c r="L323" t="s">
        <v>21</v>
      </c>
      <c r="M323" t="s">
        <v>22</v>
      </c>
      <c r="N323">
        <v>1305003600</v>
      </c>
      <c r="O323">
        <v>1305781200</v>
      </c>
      <c r="P323" s="11">
        <f>+(((Table1[[#This Row],[launched_at]]/60)/60)/24)+DATE(1970,1,1)</f>
        <v>40673.208333333336</v>
      </c>
      <c r="Q323" s="11">
        <f>+(((Table1[[#This Row],[deadline]]/60)/60)/24)+DATE(1970,1,1)</f>
        <v>40682.208333333336</v>
      </c>
      <c r="R323" t="b">
        <v>0</v>
      </c>
      <c r="S323" t="b">
        <v>0</v>
      </c>
      <c r="T323" t="s">
        <v>119</v>
      </c>
      <c r="U323" t="str">
        <f>+LEFT(Table1[[#This Row],[category &amp; sub-category]],FIND("/",Table1[[#This Row],[category &amp; sub-category]])-1)</f>
        <v>publishing</v>
      </c>
      <c r="V323" t="str">
        <f>+RIGHT(Table1[[#This Row],[category &amp; sub-category]],LEN(Table1[[#This Row],[category &amp; sub-category]])-SEARCH("/",Table1[[#This Row],[category &amp; sub-category]]))</f>
        <v>fiction</v>
      </c>
    </row>
    <row r="324" spans="2:22" ht="15.75" customHeight="1" x14ac:dyDescent="0.25">
      <c r="B324">
        <v>321</v>
      </c>
      <c r="C324" t="s">
        <v>694</v>
      </c>
      <c r="D324" s="3" t="s">
        <v>695</v>
      </c>
      <c r="E324" s="6">
        <v>170400</v>
      </c>
      <c r="F324" s="6">
        <v>160422</v>
      </c>
      <c r="G324" s="17">
        <f>ROUND(Table1[[#This Row],[pledged]]/Table1[[#This Row],[goal]]*100,2)</f>
        <v>94.14</v>
      </c>
      <c r="H324" s="5">
        <f>+Table1[[#This Row],[pledged]]/Table1[[#This Row],[goal]]</f>
        <v>0.94144366197183094</v>
      </c>
      <c r="I324" t="s">
        <v>14</v>
      </c>
      <c r="J324">
        <v>2468</v>
      </c>
      <c r="K324" s="8">
        <f>IFERROR(Table1[[#This Row],[pledged]]/Table1[[#This Row],[backers_count]],"NA")</f>
        <v>65.000810372771468</v>
      </c>
      <c r="L324" t="s">
        <v>21</v>
      </c>
      <c r="M324" t="s">
        <v>22</v>
      </c>
      <c r="N324">
        <v>1301634000</v>
      </c>
      <c r="O324">
        <v>1302325200</v>
      </c>
      <c r="P324" s="11">
        <f>+(((Table1[[#This Row],[launched_at]]/60)/60)/24)+DATE(1970,1,1)</f>
        <v>40634.208333333336</v>
      </c>
      <c r="Q324" s="11">
        <f>+(((Table1[[#This Row],[deadline]]/60)/60)/24)+DATE(1970,1,1)</f>
        <v>40642.208333333336</v>
      </c>
      <c r="R324" t="b">
        <v>0</v>
      </c>
      <c r="S324" t="b">
        <v>0</v>
      </c>
      <c r="T324" t="s">
        <v>100</v>
      </c>
      <c r="U324" t="str">
        <f>+LEFT(Table1[[#This Row],[category &amp; sub-category]],FIND("/",Table1[[#This Row],[category &amp; sub-category]])-1)</f>
        <v>film &amp; video</v>
      </c>
      <c r="V324" t="str">
        <f>+RIGHT(Table1[[#This Row],[category &amp; sub-category]],LEN(Table1[[#This Row],[category &amp; sub-category]])-SEARCH("/",Table1[[#This Row],[category &amp; sub-category]]))</f>
        <v>shorts</v>
      </c>
    </row>
    <row r="325" spans="2:22" ht="15.75" customHeight="1" x14ac:dyDescent="0.25">
      <c r="B325">
        <v>322</v>
      </c>
      <c r="C325" t="s">
        <v>696</v>
      </c>
      <c r="D325" s="3" t="s">
        <v>697</v>
      </c>
      <c r="E325" s="6">
        <v>117900</v>
      </c>
      <c r="F325" s="6">
        <v>196377</v>
      </c>
      <c r="G325" s="17">
        <f>ROUND(Table1[[#This Row],[pledged]]/Table1[[#This Row],[goal]]*100,2)</f>
        <v>166.56</v>
      </c>
      <c r="H325" s="5">
        <f>+Table1[[#This Row],[pledged]]/Table1[[#This Row],[goal]]</f>
        <v>1.6656234096692113</v>
      </c>
      <c r="I325" t="s">
        <v>20</v>
      </c>
      <c r="J325">
        <v>5168</v>
      </c>
      <c r="K325" s="8">
        <f>IFERROR(Table1[[#This Row],[pledged]]/Table1[[#This Row],[backers_count]],"NA")</f>
        <v>37.998645510835914</v>
      </c>
      <c r="L325" t="s">
        <v>21</v>
      </c>
      <c r="M325" t="s">
        <v>22</v>
      </c>
      <c r="N325">
        <v>1290664800</v>
      </c>
      <c r="O325">
        <v>1291788000</v>
      </c>
      <c r="P325" s="11">
        <f>+(((Table1[[#This Row],[launched_at]]/60)/60)/24)+DATE(1970,1,1)</f>
        <v>40507.25</v>
      </c>
      <c r="Q325" s="11">
        <f>+(((Table1[[#This Row],[deadline]]/60)/60)/24)+DATE(1970,1,1)</f>
        <v>40520.25</v>
      </c>
      <c r="R325" t="b">
        <v>0</v>
      </c>
      <c r="S325" t="b">
        <v>0</v>
      </c>
      <c r="T325" t="s">
        <v>33</v>
      </c>
      <c r="U325" t="str">
        <f>+LEFT(Table1[[#This Row],[category &amp; sub-category]],FIND("/",Table1[[#This Row],[category &amp; sub-category]])-1)</f>
        <v>theater</v>
      </c>
      <c r="V325" t="str">
        <f>+RIGHT(Table1[[#This Row],[category &amp; sub-category]],LEN(Table1[[#This Row],[category &amp; sub-category]])-SEARCH("/",Table1[[#This Row],[category &amp; sub-category]]))</f>
        <v>plays</v>
      </c>
    </row>
    <row r="326" spans="2:22" ht="15.75" customHeight="1" x14ac:dyDescent="0.25">
      <c r="B326">
        <v>323</v>
      </c>
      <c r="C326" t="s">
        <v>698</v>
      </c>
      <c r="D326" s="3" t="s">
        <v>699</v>
      </c>
      <c r="E326" s="6">
        <v>8900</v>
      </c>
      <c r="F326" s="6">
        <v>2148</v>
      </c>
      <c r="G326" s="17">
        <f>ROUND(Table1[[#This Row],[pledged]]/Table1[[#This Row],[goal]]*100,2)</f>
        <v>24.13</v>
      </c>
      <c r="H326" s="5">
        <f>+Table1[[#This Row],[pledged]]/Table1[[#This Row],[goal]]</f>
        <v>0.24134831460674158</v>
      </c>
      <c r="I326" t="s">
        <v>14</v>
      </c>
      <c r="J326">
        <v>26</v>
      </c>
      <c r="K326" s="8">
        <f>IFERROR(Table1[[#This Row],[pledged]]/Table1[[#This Row],[backers_count]],"NA")</f>
        <v>82.615384615384613</v>
      </c>
      <c r="L326" t="s">
        <v>40</v>
      </c>
      <c r="M326" t="s">
        <v>41</v>
      </c>
      <c r="N326">
        <v>1395896400</v>
      </c>
      <c r="O326">
        <v>1396069200</v>
      </c>
      <c r="P326" s="11">
        <f>+(((Table1[[#This Row],[launched_at]]/60)/60)/24)+DATE(1970,1,1)</f>
        <v>41725.208333333336</v>
      </c>
      <c r="Q326" s="11">
        <f>+(((Table1[[#This Row],[deadline]]/60)/60)/24)+DATE(1970,1,1)</f>
        <v>41727.208333333336</v>
      </c>
      <c r="R326" t="b">
        <v>0</v>
      </c>
      <c r="S326" t="b">
        <v>0</v>
      </c>
      <c r="T326" t="s">
        <v>42</v>
      </c>
      <c r="U326" t="str">
        <f>+LEFT(Table1[[#This Row],[category &amp; sub-category]],FIND("/",Table1[[#This Row],[category &amp; sub-category]])-1)</f>
        <v>film &amp; video</v>
      </c>
      <c r="V326" t="str">
        <f>+RIGHT(Table1[[#This Row],[category &amp; sub-category]],LEN(Table1[[#This Row],[category &amp; sub-category]])-SEARCH("/",Table1[[#This Row],[category &amp; sub-category]]))</f>
        <v>documentary</v>
      </c>
    </row>
    <row r="327" spans="2:22" ht="15.75" customHeight="1" x14ac:dyDescent="0.25">
      <c r="B327">
        <v>324</v>
      </c>
      <c r="C327" t="s">
        <v>700</v>
      </c>
      <c r="D327" s="3" t="s">
        <v>701</v>
      </c>
      <c r="E327" s="6">
        <v>7100</v>
      </c>
      <c r="F327" s="6">
        <v>11648</v>
      </c>
      <c r="G327" s="17">
        <f>ROUND(Table1[[#This Row],[pledged]]/Table1[[#This Row],[goal]]*100,2)</f>
        <v>164.06</v>
      </c>
      <c r="H327" s="5">
        <f>+Table1[[#This Row],[pledged]]/Table1[[#This Row],[goal]]</f>
        <v>1.6405633802816901</v>
      </c>
      <c r="I327" t="s">
        <v>20</v>
      </c>
      <c r="J327">
        <v>307</v>
      </c>
      <c r="K327" s="8">
        <f>IFERROR(Table1[[#This Row],[pledged]]/Table1[[#This Row],[backers_count]],"NA")</f>
        <v>37.941368078175898</v>
      </c>
      <c r="L327" t="s">
        <v>21</v>
      </c>
      <c r="M327" t="s">
        <v>22</v>
      </c>
      <c r="N327">
        <v>1434862800</v>
      </c>
      <c r="O327">
        <v>1435899600</v>
      </c>
      <c r="P327" s="11">
        <f>+(((Table1[[#This Row],[launched_at]]/60)/60)/24)+DATE(1970,1,1)</f>
        <v>42176.208333333328</v>
      </c>
      <c r="Q327" s="11">
        <f>+(((Table1[[#This Row],[deadline]]/60)/60)/24)+DATE(1970,1,1)</f>
        <v>42188.208333333328</v>
      </c>
      <c r="R327" t="b">
        <v>0</v>
      </c>
      <c r="S327" t="b">
        <v>1</v>
      </c>
      <c r="T327" t="s">
        <v>33</v>
      </c>
      <c r="U327" t="str">
        <f>+LEFT(Table1[[#This Row],[category &amp; sub-category]],FIND("/",Table1[[#This Row],[category &amp; sub-category]])-1)</f>
        <v>theater</v>
      </c>
      <c r="V327" t="str">
        <f>+RIGHT(Table1[[#This Row],[category &amp; sub-category]],LEN(Table1[[#This Row],[category &amp; sub-category]])-SEARCH("/",Table1[[#This Row],[category &amp; sub-category]]))</f>
        <v>plays</v>
      </c>
    </row>
    <row r="328" spans="2:22" ht="15.75" customHeight="1" x14ac:dyDescent="0.25">
      <c r="B328">
        <v>325</v>
      </c>
      <c r="C328" t="s">
        <v>702</v>
      </c>
      <c r="D328" s="3" t="s">
        <v>703</v>
      </c>
      <c r="E328" s="6">
        <v>6500</v>
      </c>
      <c r="F328" s="6">
        <v>5897</v>
      </c>
      <c r="G328" s="17">
        <f>ROUND(Table1[[#This Row],[pledged]]/Table1[[#This Row],[goal]]*100,2)</f>
        <v>90.72</v>
      </c>
      <c r="H328" s="5">
        <f>+Table1[[#This Row],[pledged]]/Table1[[#This Row],[goal]]</f>
        <v>0.90723076923076929</v>
      </c>
      <c r="I328" t="s">
        <v>14</v>
      </c>
      <c r="J328">
        <v>73</v>
      </c>
      <c r="K328" s="8">
        <f>IFERROR(Table1[[#This Row],[pledged]]/Table1[[#This Row],[backers_count]],"NA")</f>
        <v>80.780821917808225</v>
      </c>
      <c r="L328" t="s">
        <v>21</v>
      </c>
      <c r="M328" t="s">
        <v>22</v>
      </c>
      <c r="N328">
        <v>1529125200</v>
      </c>
      <c r="O328">
        <v>1531112400</v>
      </c>
      <c r="P328" s="11">
        <f>+(((Table1[[#This Row],[launched_at]]/60)/60)/24)+DATE(1970,1,1)</f>
        <v>43267.208333333328</v>
      </c>
      <c r="Q328" s="11">
        <f>+(((Table1[[#This Row],[deadline]]/60)/60)/24)+DATE(1970,1,1)</f>
        <v>43290.208333333328</v>
      </c>
      <c r="R328" t="b">
        <v>0</v>
      </c>
      <c r="S328" t="b">
        <v>1</v>
      </c>
      <c r="T328" t="s">
        <v>33</v>
      </c>
      <c r="U328" t="str">
        <f>+LEFT(Table1[[#This Row],[category &amp; sub-category]],FIND("/",Table1[[#This Row],[category &amp; sub-category]])-1)</f>
        <v>theater</v>
      </c>
      <c r="V328" t="str">
        <f>+RIGHT(Table1[[#This Row],[category &amp; sub-category]],LEN(Table1[[#This Row],[category &amp; sub-category]])-SEARCH("/",Table1[[#This Row],[category &amp; sub-category]]))</f>
        <v>plays</v>
      </c>
    </row>
    <row r="329" spans="2:22" ht="15.75" customHeight="1" x14ac:dyDescent="0.25">
      <c r="B329">
        <v>326</v>
      </c>
      <c r="C329" t="s">
        <v>704</v>
      </c>
      <c r="D329" s="3" t="s">
        <v>705</v>
      </c>
      <c r="E329" s="6">
        <v>7200</v>
      </c>
      <c r="F329" s="6">
        <v>3326</v>
      </c>
      <c r="G329" s="17">
        <f>ROUND(Table1[[#This Row],[pledged]]/Table1[[#This Row],[goal]]*100,2)</f>
        <v>46.19</v>
      </c>
      <c r="H329" s="5">
        <f>+Table1[[#This Row],[pledged]]/Table1[[#This Row],[goal]]</f>
        <v>0.46194444444444444</v>
      </c>
      <c r="I329" t="s">
        <v>14</v>
      </c>
      <c r="J329">
        <v>128</v>
      </c>
      <c r="K329" s="8">
        <f>IFERROR(Table1[[#This Row],[pledged]]/Table1[[#This Row],[backers_count]],"NA")</f>
        <v>25.984375</v>
      </c>
      <c r="L329" t="s">
        <v>21</v>
      </c>
      <c r="M329" t="s">
        <v>22</v>
      </c>
      <c r="N329">
        <v>1451109600</v>
      </c>
      <c r="O329">
        <v>1451628000</v>
      </c>
      <c r="P329" s="11">
        <f>+(((Table1[[#This Row],[launched_at]]/60)/60)/24)+DATE(1970,1,1)</f>
        <v>42364.25</v>
      </c>
      <c r="Q329" s="11">
        <f>+(((Table1[[#This Row],[deadline]]/60)/60)/24)+DATE(1970,1,1)</f>
        <v>42370.25</v>
      </c>
      <c r="R329" t="b">
        <v>0</v>
      </c>
      <c r="S329" t="b">
        <v>0</v>
      </c>
      <c r="T329" t="s">
        <v>71</v>
      </c>
      <c r="U329" t="str">
        <f>+LEFT(Table1[[#This Row],[category &amp; sub-category]],FIND("/",Table1[[#This Row],[category &amp; sub-category]])-1)</f>
        <v>film &amp; video</v>
      </c>
      <c r="V329" t="str">
        <f>+RIGHT(Table1[[#This Row],[category &amp; sub-category]],LEN(Table1[[#This Row],[category &amp; sub-category]])-SEARCH("/",Table1[[#This Row],[category &amp; sub-category]]))</f>
        <v>animation</v>
      </c>
    </row>
    <row r="330" spans="2:22" ht="15.75" customHeight="1" x14ac:dyDescent="0.25">
      <c r="B330">
        <v>327</v>
      </c>
      <c r="C330" t="s">
        <v>706</v>
      </c>
      <c r="D330" s="3" t="s">
        <v>707</v>
      </c>
      <c r="E330" s="6">
        <v>2600</v>
      </c>
      <c r="F330" s="6">
        <v>1002</v>
      </c>
      <c r="G330" s="17">
        <f>ROUND(Table1[[#This Row],[pledged]]/Table1[[#This Row],[goal]]*100,2)</f>
        <v>38.54</v>
      </c>
      <c r="H330" s="5">
        <f>+Table1[[#This Row],[pledged]]/Table1[[#This Row],[goal]]</f>
        <v>0.38538461538461538</v>
      </c>
      <c r="I330" t="s">
        <v>14</v>
      </c>
      <c r="J330">
        <v>33</v>
      </c>
      <c r="K330" s="8">
        <f>IFERROR(Table1[[#This Row],[pledged]]/Table1[[#This Row],[backers_count]],"NA")</f>
        <v>30.363636363636363</v>
      </c>
      <c r="L330" t="s">
        <v>21</v>
      </c>
      <c r="M330" t="s">
        <v>22</v>
      </c>
      <c r="N330">
        <v>1566968400</v>
      </c>
      <c r="O330">
        <v>1567314000</v>
      </c>
      <c r="P330" s="11">
        <f>+(((Table1[[#This Row],[launched_at]]/60)/60)/24)+DATE(1970,1,1)</f>
        <v>43705.208333333328</v>
      </c>
      <c r="Q330" s="11">
        <f>+(((Table1[[#This Row],[deadline]]/60)/60)/24)+DATE(1970,1,1)</f>
        <v>43709.208333333328</v>
      </c>
      <c r="R330" t="b">
        <v>0</v>
      </c>
      <c r="S330" t="b">
        <v>1</v>
      </c>
      <c r="T330" t="s">
        <v>33</v>
      </c>
      <c r="U330" t="str">
        <f>+LEFT(Table1[[#This Row],[category &amp; sub-category]],FIND("/",Table1[[#This Row],[category &amp; sub-category]])-1)</f>
        <v>theater</v>
      </c>
      <c r="V330" t="str">
        <f>+RIGHT(Table1[[#This Row],[category &amp; sub-category]],LEN(Table1[[#This Row],[category &amp; sub-category]])-SEARCH("/",Table1[[#This Row],[category &amp; sub-category]]))</f>
        <v>plays</v>
      </c>
    </row>
    <row r="331" spans="2:22" ht="15.75" customHeight="1" x14ac:dyDescent="0.25">
      <c r="B331">
        <v>328</v>
      </c>
      <c r="C331" t="s">
        <v>708</v>
      </c>
      <c r="D331" s="3" t="s">
        <v>709</v>
      </c>
      <c r="E331" s="6">
        <v>98700</v>
      </c>
      <c r="F331" s="6">
        <v>131826</v>
      </c>
      <c r="G331" s="17">
        <f>ROUND(Table1[[#This Row],[pledged]]/Table1[[#This Row],[goal]]*100,2)</f>
        <v>133.56</v>
      </c>
      <c r="H331" s="5">
        <f>+Table1[[#This Row],[pledged]]/Table1[[#This Row],[goal]]</f>
        <v>1.3356231003039514</v>
      </c>
      <c r="I331" t="s">
        <v>20</v>
      </c>
      <c r="J331">
        <v>2441</v>
      </c>
      <c r="K331" s="8">
        <f>IFERROR(Table1[[#This Row],[pledged]]/Table1[[#This Row],[backers_count]],"NA")</f>
        <v>54.004916018025398</v>
      </c>
      <c r="L331" t="s">
        <v>21</v>
      </c>
      <c r="M331" t="s">
        <v>22</v>
      </c>
      <c r="N331">
        <v>1543557600</v>
      </c>
      <c r="O331">
        <v>1544508000</v>
      </c>
      <c r="P331" s="11">
        <f>+(((Table1[[#This Row],[launched_at]]/60)/60)/24)+DATE(1970,1,1)</f>
        <v>43434.25</v>
      </c>
      <c r="Q331" s="11">
        <f>+(((Table1[[#This Row],[deadline]]/60)/60)/24)+DATE(1970,1,1)</f>
        <v>43445.25</v>
      </c>
      <c r="R331" t="b">
        <v>0</v>
      </c>
      <c r="S331" t="b">
        <v>0</v>
      </c>
      <c r="T331" t="s">
        <v>23</v>
      </c>
      <c r="U331" t="str">
        <f>+LEFT(Table1[[#This Row],[category &amp; sub-category]],FIND("/",Table1[[#This Row],[category &amp; sub-category]])-1)</f>
        <v>music</v>
      </c>
      <c r="V331" t="str">
        <f>+RIGHT(Table1[[#This Row],[category &amp; sub-category]],LEN(Table1[[#This Row],[category &amp; sub-category]])-SEARCH("/",Table1[[#This Row],[category &amp; sub-category]]))</f>
        <v>rock</v>
      </c>
    </row>
    <row r="332" spans="2:22" ht="15.75" customHeight="1" x14ac:dyDescent="0.25">
      <c r="B332">
        <v>329</v>
      </c>
      <c r="C332" t="s">
        <v>710</v>
      </c>
      <c r="D332" s="3" t="s">
        <v>711</v>
      </c>
      <c r="E332" s="6">
        <v>93800</v>
      </c>
      <c r="F332" s="6">
        <v>21477</v>
      </c>
      <c r="G332" s="17">
        <f>ROUND(Table1[[#This Row],[pledged]]/Table1[[#This Row],[goal]]*100,2)</f>
        <v>22.9</v>
      </c>
      <c r="H332" s="5">
        <f>+Table1[[#This Row],[pledged]]/Table1[[#This Row],[goal]]</f>
        <v>0.22896588486140726</v>
      </c>
      <c r="I332" t="s">
        <v>47</v>
      </c>
      <c r="J332">
        <v>211</v>
      </c>
      <c r="K332" s="8">
        <f>IFERROR(Table1[[#This Row],[pledged]]/Table1[[#This Row],[backers_count]],"NA")</f>
        <v>101.78672985781991</v>
      </c>
      <c r="L332" t="s">
        <v>21</v>
      </c>
      <c r="M332" t="s">
        <v>22</v>
      </c>
      <c r="N332">
        <v>1481522400</v>
      </c>
      <c r="O332">
        <v>1482472800</v>
      </c>
      <c r="P332" s="11">
        <f>+(((Table1[[#This Row],[launched_at]]/60)/60)/24)+DATE(1970,1,1)</f>
        <v>42716.25</v>
      </c>
      <c r="Q332" s="11">
        <f>+(((Table1[[#This Row],[deadline]]/60)/60)/24)+DATE(1970,1,1)</f>
        <v>42727.25</v>
      </c>
      <c r="R332" t="b">
        <v>0</v>
      </c>
      <c r="S332" t="b">
        <v>0</v>
      </c>
      <c r="T332" t="s">
        <v>89</v>
      </c>
      <c r="U332" t="str">
        <f>+LEFT(Table1[[#This Row],[category &amp; sub-category]],FIND("/",Table1[[#This Row],[category &amp; sub-category]])-1)</f>
        <v>games</v>
      </c>
      <c r="V332" t="str">
        <f>+RIGHT(Table1[[#This Row],[category &amp; sub-category]],LEN(Table1[[#This Row],[category &amp; sub-category]])-SEARCH("/",Table1[[#This Row],[category &amp; sub-category]]))</f>
        <v>video games</v>
      </c>
    </row>
    <row r="333" spans="2:22" ht="15.75" customHeight="1" x14ac:dyDescent="0.25">
      <c r="B333">
        <v>330</v>
      </c>
      <c r="C333" t="s">
        <v>712</v>
      </c>
      <c r="D333" s="3" t="s">
        <v>713</v>
      </c>
      <c r="E333" s="6">
        <v>33700</v>
      </c>
      <c r="F333" s="6">
        <v>62330</v>
      </c>
      <c r="G333" s="17">
        <f>ROUND(Table1[[#This Row],[pledged]]/Table1[[#This Row],[goal]]*100,2)</f>
        <v>184.96</v>
      </c>
      <c r="H333" s="5">
        <f>+Table1[[#This Row],[pledged]]/Table1[[#This Row],[goal]]</f>
        <v>1.8495548961424333</v>
      </c>
      <c r="I333" t="s">
        <v>20</v>
      </c>
      <c r="J333">
        <v>1385</v>
      </c>
      <c r="K333" s="8">
        <f>IFERROR(Table1[[#This Row],[pledged]]/Table1[[#This Row],[backers_count]],"NA")</f>
        <v>45.003610108303249</v>
      </c>
      <c r="L333" t="s">
        <v>40</v>
      </c>
      <c r="M333" t="s">
        <v>41</v>
      </c>
      <c r="N333">
        <v>1512712800</v>
      </c>
      <c r="O333">
        <v>1512799200</v>
      </c>
      <c r="P333" s="11">
        <f>+(((Table1[[#This Row],[launched_at]]/60)/60)/24)+DATE(1970,1,1)</f>
        <v>43077.25</v>
      </c>
      <c r="Q333" s="11">
        <f>+(((Table1[[#This Row],[deadline]]/60)/60)/24)+DATE(1970,1,1)</f>
        <v>43078.25</v>
      </c>
      <c r="R333" t="b">
        <v>0</v>
      </c>
      <c r="S333" t="b">
        <v>0</v>
      </c>
      <c r="T333" t="s">
        <v>42</v>
      </c>
      <c r="U333" t="str">
        <f>+LEFT(Table1[[#This Row],[category &amp; sub-category]],FIND("/",Table1[[#This Row],[category &amp; sub-category]])-1)</f>
        <v>film &amp; video</v>
      </c>
      <c r="V333" t="str">
        <f>+RIGHT(Table1[[#This Row],[category &amp; sub-category]],LEN(Table1[[#This Row],[category &amp; sub-category]])-SEARCH("/",Table1[[#This Row],[category &amp; sub-category]]))</f>
        <v>documentary</v>
      </c>
    </row>
    <row r="334" spans="2:22" ht="15.75" customHeight="1" x14ac:dyDescent="0.25">
      <c r="B334">
        <v>331</v>
      </c>
      <c r="C334" t="s">
        <v>714</v>
      </c>
      <c r="D334" s="3" t="s">
        <v>715</v>
      </c>
      <c r="E334" s="6">
        <v>3300</v>
      </c>
      <c r="F334" s="6">
        <v>14643</v>
      </c>
      <c r="G334" s="17">
        <f>ROUND(Table1[[#This Row],[pledged]]/Table1[[#This Row],[goal]]*100,2)</f>
        <v>443.73</v>
      </c>
      <c r="H334" s="5">
        <f>+Table1[[#This Row],[pledged]]/Table1[[#This Row],[goal]]</f>
        <v>4.4372727272727275</v>
      </c>
      <c r="I334" t="s">
        <v>20</v>
      </c>
      <c r="J334">
        <v>190</v>
      </c>
      <c r="K334" s="8">
        <f>IFERROR(Table1[[#This Row],[pledged]]/Table1[[#This Row],[backers_count]],"NA")</f>
        <v>77.068421052631578</v>
      </c>
      <c r="L334" t="s">
        <v>21</v>
      </c>
      <c r="M334" t="s">
        <v>22</v>
      </c>
      <c r="N334">
        <v>1324274400</v>
      </c>
      <c r="O334">
        <v>1324360800</v>
      </c>
      <c r="P334" s="11">
        <f>+(((Table1[[#This Row],[launched_at]]/60)/60)/24)+DATE(1970,1,1)</f>
        <v>40896.25</v>
      </c>
      <c r="Q334" s="11">
        <f>+(((Table1[[#This Row],[deadline]]/60)/60)/24)+DATE(1970,1,1)</f>
        <v>40897.25</v>
      </c>
      <c r="R334" t="b">
        <v>0</v>
      </c>
      <c r="S334" t="b">
        <v>0</v>
      </c>
      <c r="T334" t="s">
        <v>17</v>
      </c>
      <c r="U334" t="str">
        <f>+LEFT(Table1[[#This Row],[category &amp; sub-category]],FIND("/",Table1[[#This Row],[category &amp; sub-category]])-1)</f>
        <v>food</v>
      </c>
      <c r="V334" t="str">
        <f>+RIGHT(Table1[[#This Row],[category &amp; sub-category]],LEN(Table1[[#This Row],[category &amp; sub-category]])-SEARCH("/",Table1[[#This Row],[category &amp; sub-category]]))</f>
        <v>food trucks</v>
      </c>
    </row>
    <row r="335" spans="2:22" ht="15.75" customHeight="1" x14ac:dyDescent="0.25">
      <c r="B335">
        <v>332</v>
      </c>
      <c r="C335" t="s">
        <v>716</v>
      </c>
      <c r="D335" s="3" t="s">
        <v>717</v>
      </c>
      <c r="E335" s="6">
        <v>20700</v>
      </c>
      <c r="F335" s="6">
        <v>41396</v>
      </c>
      <c r="G335" s="17">
        <f>ROUND(Table1[[#This Row],[pledged]]/Table1[[#This Row],[goal]]*100,2)</f>
        <v>199.98</v>
      </c>
      <c r="H335" s="5">
        <f>+Table1[[#This Row],[pledged]]/Table1[[#This Row],[goal]]</f>
        <v>1.999806763285024</v>
      </c>
      <c r="I335" t="s">
        <v>20</v>
      </c>
      <c r="J335">
        <v>470</v>
      </c>
      <c r="K335" s="8">
        <f>IFERROR(Table1[[#This Row],[pledged]]/Table1[[#This Row],[backers_count]],"NA")</f>
        <v>88.076595744680844</v>
      </c>
      <c r="L335" t="s">
        <v>21</v>
      </c>
      <c r="M335" t="s">
        <v>22</v>
      </c>
      <c r="N335">
        <v>1364446800</v>
      </c>
      <c r="O335">
        <v>1364533200</v>
      </c>
      <c r="P335" s="11">
        <f>+(((Table1[[#This Row],[launched_at]]/60)/60)/24)+DATE(1970,1,1)</f>
        <v>41361.208333333336</v>
      </c>
      <c r="Q335" s="11">
        <f>+(((Table1[[#This Row],[deadline]]/60)/60)/24)+DATE(1970,1,1)</f>
        <v>41362.208333333336</v>
      </c>
      <c r="R335" t="b">
        <v>0</v>
      </c>
      <c r="S335" t="b">
        <v>0</v>
      </c>
      <c r="T335" t="s">
        <v>65</v>
      </c>
      <c r="U335" t="str">
        <f>+LEFT(Table1[[#This Row],[category &amp; sub-category]],FIND("/",Table1[[#This Row],[category &amp; sub-category]])-1)</f>
        <v>technology</v>
      </c>
      <c r="V335" t="str">
        <f>+RIGHT(Table1[[#This Row],[category &amp; sub-category]],LEN(Table1[[#This Row],[category &amp; sub-category]])-SEARCH("/",Table1[[#This Row],[category &amp; sub-category]]))</f>
        <v>wearables</v>
      </c>
    </row>
    <row r="336" spans="2:22" ht="15.75" customHeight="1" x14ac:dyDescent="0.25">
      <c r="B336">
        <v>333</v>
      </c>
      <c r="C336" t="s">
        <v>718</v>
      </c>
      <c r="D336" s="3" t="s">
        <v>719</v>
      </c>
      <c r="E336" s="6">
        <v>9600</v>
      </c>
      <c r="F336" s="6">
        <v>11900</v>
      </c>
      <c r="G336" s="17">
        <f>ROUND(Table1[[#This Row],[pledged]]/Table1[[#This Row],[goal]]*100,2)</f>
        <v>123.96</v>
      </c>
      <c r="H336" s="5">
        <f>+Table1[[#This Row],[pledged]]/Table1[[#This Row],[goal]]</f>
        <v>1.2395833333333333</v>
      </c>
      <c r="I336" t="s">
        <v>20</v>
      </c>
      <c r="J336">
        <v>253</v>
      </c>
      <c r="K336" s="8">
        <f>IFERROR(Table1[[#This Row],[pledged]]/Table1[[#This Row],[backers_count]],"NA")</f>
        <v>47.035573122529641</v>
      </c>
      <c r="L336" t="s">
        <v>21</v>
      </c>
      <c r="M336" t="s">
        <v>22</v>
      </c>
      <c r="N336">
        <v>1542693600</v>
      </c>
      <c r="O336">
        <v>1545112800</v>
      </c>
      <c r="P336" s="11">
        <f>+(((Table1[[#This Row],[launched_at]]/60)/60)/24)+DATE(1970,1,1)</f>
        <v>43424.25</v>
      </c>
      <c r="Q336" s="11">
        <f>+(((Table1[[#This Row],[deadline]]/60)/60)/24)+DATE(1970,1,1)</f>
        <v>43452.25</v>
      </c>
      <c r="R336" t="b">
        <v>0</v>
      </c>
      <c r="S336" t="b">
        <v>0</v>
      </c>
      <c r="T336" t="s">
        <v>33</v>
      </c>
      <c r="U336" t="str">
        <f>+LEFT(Table1[[#This Row],[category &amp; sub-category]],FIND("/",Table1[[#This Row],[category &amp; sub-category]])-1)</f>
        <v>theater</v>
      </c>
      <c r="V336" t="str">
        <f>+RIGHT(Table1[[#This Row],[category &amp; sub-category]],LEN(Table1[[#This Row],[category &amp; sub-category]])-SEARCH("/",Table1[[#This Row],[category &amp; sub-category]]))</f>
        <v>plays</v>
      </c>
    </row>
    <row r="337" spans="2:22" ht="15.75" customHeight="1" x14ac:dyDescent="0.25">
      <c r="B337">
        <v>334</v>
      </c>
      <c r="C337" t="s">
        <v>720</v>
      </c>
      <c r="D337" s="3" t="s">
        <v>721</v>
      </c>
      <c r="E337" s="6">
        <v>66200</v>
      </c>
      <c r="F337" s="6">
        <v>123538</v>
      </c>
      <c r="G337" s="17">
        <f>ROUND(Table1[[#This Row],[pledged]]/Table1[[#This Row],[goal]]*100,2)</f>
        <v>186.61</v>
      </c>
      <c r="H337" s="5">
        <f>+Table1[[#This Row],[pledged]]/Table1[[#This Row],[goal]]</f>
        <v>1.8661329305135952</v>
      </c>
      <c r="I337" t="s">
        <v>20</v>
      </c>
      <c r="J337">
        <v>1113</v>
      </c>
      <c r="K337" s="8">
        <f>IFERROR(Table1[[#This Row],[pledged]]/Table1[[#This Row],[backers_count]],"NA")</f>
        <v>110.99550763701707</v>
      </c>
      <c r="L337" t="s">
        <v>21</v>
      </c>
      <c r="M337" t="s">
        <v>22</v>
      </c>
      <c r="N337">
        <v>1515564000</v>
      </c>
      <c r="O337">
        <v>1516168800</v>
      </c>
      <c r="P337" s="11">
        <f>+(((Table1[[#This Row],[launched_at]]/60)/60)/24)+DATE(1970,1,1)</f>
        <v>43110.25</v>
      </c>
      <c r="Q337" s="11">
        <f>+(((Table1[[#This Row],[deadline]]/60)/60)/24)+DATE(1970,1,1)</f>
        <v>43117.25</v>
      </c>
      <c r="R337" t="b">
        <v>0</v>
      </c>
      <c r="S337" t="b">
        <v>0</v>
      </c>
      <c r="T337" t="s">
        <v>23</v>
      </c>
      <c r="U337" t="str">
        <f>+LEFT(Table1[[#This Row],[category &amp; sub-category]],FIND("/",Table1[[#This Row],[category &amp; sub-category]])-1)</f>
        <v>music</v>
      </c>
      <c r="V337" t="str">
        <f>+RIGHT(Table1[[#This Row],[category &amp; sub-category]],LEN(Table1[[#This Row],[category &amp; sub-category]])-SEARCH("/",Table1[[#This Row],[category &amp; sub-category]]))</f>
        <v>rock</v>
      </c>
    </row>
    <row r="338" spans="2:22" ht="15.75" customHeight="1" x14ac:dyDescent="0.25">
      <c r="B338">
        <v>335</v>
      </c>
      <c r="C338" t="s">
        <v>722</v>
      </c>
      <c r="D338" s="3" t="s">
        <v>723</v>
      </c>
      <c r="E338" s="6">
        <v>173800</v>
      </c>
      <c r="F338" s="6">
        <v>198628</v>
      </c>
      <c r="G338" s="17">
        <f>ROUND(Table1[[#This Row],[pledged]]/Table1[[#This Row],[goal]]*100,2)</f>
        <v>114.29</v>
      </c>
      <c r="H338" s="5">
        <f>+Table1[[#This Row],[pledged]]/Table1[[#This Row],[goal]]</f>
        <v>1.1428538550057536</v>
      </c>
      <c r="I338" t="s">
        <v>20</v>
      </c>
      <c r="J338">
        <v>2283</v>
      </c>
      <c r="K338" s="8">
        <f>IFERROR(Table1[[#This Row],[pledged]]/Table1[[#This Row],[backers_count]],"NA")</f>
        <v>87.003066141042481</v>
      </c>
      <c r="L338" t="s">
        <v>21</v>
      </c>
      <c r="M338" t="s">
        <v>22</v>
      </c>
      <c r="N338">
        <v>1573797600</v>
      </c>
      <c r="O338">
        <v>1574920800</v>
      </c>
      <c r="P338" s="11">
        <f>+(((Table1[[#This Row],[launched_at]]/60)/60)/24)+DATE(1970,1,1)</f>
        <v>43784.25</v>
      </c>
      <c r="Q338" s="11">
        <f>+(((Table1[[#This Row],[deadline]]/60)/60)/24)+DATE(1970,1,1)</f>
        <v>43797.25</v>
      </c>
      <c r="R338" t="b">
        <v>0</v>
      </c>
      <c r="S338" t="b">
        <v>0</v>
      </c>
      <c r="T338" t="s">
        <v>23</v>
      </c>
      <c r="U338" t="str">
        <f>+LEFT(Table1[[#This Row],[category &amp; sub-category]],FIND("/",Table1[[#This Row],[category &amp; sub-category]])-1)</f>
        <v>music</v>
      </c>
      <c r="V338" t="str">
        <f>+RIGHT(Table1[[#This Row],[category &amp; sub-category]],LEN(Table1[[#This Row],[category &amp; sub-category]])-SEARCH("/",Table1[[#This Row],[category &amp; sub-category]]))</f>
        <v>rock</v>
      </c>
    </row>
    <row r="339" spans="2:22" ht="15.75" customHeight="1" x14ac:dyDescent="0.25">
      <c r="B339">
        <v>336</v>
      </c>
      <c r="C339" t="s">
        <v>724</v>
      </c>
      <c r="D339" s="3" t="s">
        <v>725</v>
      </c>
      <c r="E339" s="6">
        <v>70700</v>
      </c>
      <c r="F339" s="6">
        <v>68602</v>
      </c>
      <c r="G339" s="17">
        <f>ROUND(Table1[[#This Row],[pledged]]/Table1[[#This Row],[goal]]*100,2)</f>
        <v>97.03</v>
      </c>
      <c r="H339" s="5">
        <f>+Table1[[#This Row],[pledged]]/Table1[[#This Row],[goal]]</f>
        <v>0.97032531824611035</v>
      </c>
      <c r="I339" t="s">
        <v>14</v>
      </c>
      <c r="J339">
        <v>1072</v>
      </c>
      <c r="K339" s="8">
        <f>IFERROR(Table1[[#This Row],[pledged]]/Table1[[#This Row],[backers_count]],"NA")</f>
        <v>63.994402985074629</v>
      </c>
      <c r="L339" t="s">
        <v>21</v>
      </c>
      <c r="M339" t="s">
        <v>22</v>
      </c>
      <c r="N339">
        <v>1292392800</v>
      </c>
      <c r="O339">
        <v>1292479200</v>
      </c>
      <c r="P339" s="11">
        <f>+(((Table1[[#This Row],[launched_at]]/60)/60)/24)+DATE(1970,1,1)</f>
        <v>40527.25</v>
      </c>
      <c r="Q339" s="11">
        <f>+(((Table1[[#This Row],[deadline]]/60)/60)/24)+DATE(1970,1,1)</f>
        <v>40528.25</v>
      </c>
      <c r="R339" t="b">
        <v>0</v>
      </c>
      <c r="S339" t="b">
        <v>1</v>
      </c>
      <c r="T339" t="s">
        <v>23</v>
      </c>
      <c r="U339" t="str">
        <f>+LEFT(Table1[[#This Row],[category &amp; sub-category]],FIND("/",Table1[[#This Row],[category &amp; sub-category]])-1)</f>
        <v>music</v>
      </c>
      <c r="V339" t="str">
        <f>+RIGHT(Table1[[#This Row],[category &amp; sub-category]],LEN(Table1[[#This Row],[category &amp; sub-category]])-SEARCH("/",Table1[[#This Row],[category &amp; sub-category]]))</f>
        <v>rock</v>
      </c>
    </row>
    <row r="340" spans="2:22" ht="15.75" customHeight="1" x14ac:dyDescent="0.25">
      <c r="B340">
        <v>337</v>
      </c>
      <c r="C340" t="s">
        <v>726</v>
      </c>
      <c r="D340" s="3" t="s">
        <v>727</v>
      </c>
      <c r="E340" s="6">
        <v>94500</v>
      </c>
      <c r="F340" s="6">
        <v>116064</v>
      </c>
      <c r="G340" s="17">
        <f>ROUND(Table1[[#This Row],[pledged]]/Table1[[#This Row],[goal]]*100,2)</f>
        <v>122.82</v>
      </c>
      <c r="H340" s="5">
        <f>+Table1[[#This Row],[pledged]]/Table1[[#This Row],[goal]]</f>
        <v>1.2281904761904763</v>
      </c>
      <c r="I340" t="s">
        <v>20</v>
      </c>
      <c r="J340">
        <v>1095</v>
      </c>
      <c r="K340" s="8">
        <f>IFERROR(Table1[[#This Row],[pledged]]/Table1[[#This Row],[backers_count]],"NA")</f>
        <v>105.9945205479452</v>
      </c>
      <c r="L340" t="s">
        <v>21</v>
      </c>
      <c r="M340" t="s">
        <v>22</v>
      </c>
      <c r="N340">
        <v>1573452000</v>
      </c>
      <c r="O340">
        <v>1573538400</v>
      </c>
      <c r="P340" s="11">
        <f>+(((Table1[[#This Row],[launched_at]]/60)/60)/24)+DATE(1970,1,1)</f>
        <v>43780.25</v>
      </c>
      <c r="Q340" s="11">
        <f>+(((Table1[[#This Row],[deadline]]/60)/60)/24)+DATE(1970,1,1)</f>
        <v>43781.25</v>
      </c>
      <c r="R340" t="b">
        <v>0</v>
      </c>
      <c r="S340" t="b">
        <v>0</v>
      </c>
      <c r="T340" t="s">
        <v>33</v>
      </c>
      <c r="U340" t="str">
        <f>+LEFT(Table1[[#This Row],[category &amp; sub-category]],FIND("/",Table1[[#This Row],[category &amp; sub-category]])-1)</f>
        <v>theater</v>
      </c>
      <c r="V340" t="str">
        <f>+RIGHT(Table1[[#This Row],[category &amp; sub-category]],LEN(Table1[[#This Row],[category &amp; sub-category]])-SEARCH("/",Table1[[#This Row],[category &amp; sub-category]]))</f>
        <v>plays</v>
      </c>
    </row>
    <row r="341" spans="2:22" ht="15.75" customHeight="1" x14ac:dyDescent="0.25">
      <c r="B341">
        <v>338</v>
      </c>
      <c r="C341" t="s">
        <v>728</v>
      </c>
      <c r="D341" s="3" t="s">
        <v>729</v>
      </c>
      <c r="E341" s="6">
        <v>69800</v>
      </c>
      <c r="F341" s="6">
        <v>125042</v>
      </c>
      <c r="G341" s="17">
        <f>ROUND(Table1[[#This Row],[pledged]]/Table1[[#This Row],[goal]]*100,2)</f>
        <v>179.14</v>
      </c>
      <c r="H341" s="5">
        <f>+Table1[[#This Row],[pledged]]/Table1[[#This Row],[goal]]</f>
        <v>1.7914326647564469</v>
      </c>
      <c r="I341" t="s">
        <v>20</v>
      </c>
      <c r="J341">
        <v>1690</v>
      </c>
      <c r="K341" s="8">
        <f>IFERROR(Table1[[#This Row],[pledged]]/Table1[[#This Row],[backers_count]],"NA")</f>
        <v>73.989349112426041</v>
      </c>
      <c r="L341" t="s">
        <v>21</v>
      </c>
      <c r="M341" t="s">
        <v>22</v>
      </c>
      <c r="N341">
        <v>1317790800</v>
      </c>
      <c r="O341">
        <v>1320382800</v>
      </c>
      <c r="P341" s="11">
        <f>+(((Table1[[#This Row],[launched_at]]/60)/60)/24)+DATE(1970,1,1)</f>
        <v>40821.208333333336</v>
      </c>
      <c r="Q341" s="11">
        <f>+(((Table1[[#This Row],[deadline]]/60)/60)/24)+DATE(1970,1,1)</f>
        <v>40851.208333333336</v>
      </c>
      <c r="R341" t="b">
        <v>0</v>
      </c>
      <c r="S341" t="b">
        <v>0</v>
      </c>
      <c r="T341" t="s">
        <v>33</v>
      </c>
      <c r="U341" t="str">
        <f>+LEFT(Table1[[#This Row],[category &amp; sub-category]],FIND("/",Table1[[#This Row],[category &amp; sub-category]])-1)</f>
        <v>theater</v>
      </c>
      <c r="V341" t="str">
        <f>+RIGHT(Table1[[#This Row],[category &amp; sub-category]],LEN(Table1[[#This Row],[category &amp; sub-category]])-SEARCH("/",Table1[[#This Row],[category &amp; sub-category]]))</f>
        <v>plays</v>
      </c>
    </row>
    <row r="342" spans="2:22" ht="15.75" customHeight="1" x14ac:dyDescent="0.25">
      <c r="B342">
        <v>339</v>
      </c>
      <c r="C342" t="s">
        <v>730</v>
      </c>
      <c r="D342" s="3" t="s">
        <v>731</v>
      </c>
      <c r="E342" s="6">
        <v>136300</v>
      </c>
      <c r="F342" s="6">
        <v>108974</v>
      </c>
      <c r="G342" s="17">
        <f>ROUND(Table1[[#This Row],[pledged]]/Table1[[#This Row],[goal]]*100,2)</f>
        <v>79.95</v>
      </c>
      <c r="H342" s="5">
        <f>+Table1[[#This Row],[pledged]]/Table1[[#This Row],[goal]]</f>
        <v>0.79951577402787966</v>
      </c>
      <c r="I342" t="s">
        <v>74</v>
      </c>
      <c r="J342">
        <v>1297</v>
      </c>
      <c r="K342" s="8">
        <f>IFERROR(Table1[[#This Row],[pledged]]/Table1[[#This Row],[backers_count]],"NA")</f>
        <v>84.02004626060139</v>
      </c>
      <c r="L342" t="s">
        <v>15</v>
      </c>
      <c r="M342" t="s">
        <v>16</v>
      </c>
      <c r="N342">
        <v>1501650000</v>
      </c>
      <c r="O342">
        <v>1502859600</v>
      </c>
      <c r="P342" s="11">
        <f>+(((Table1[[#This Row],[launched_at]]/60)/60)/24)+DATE(1970,1,1)</f>
        <v>42949.208333333328</v>
      </c>
      <c r="Q342" s="11">
        <f>+(((Table1[[#This Row],[deadline]]/60)/60)/24)+DATE(1970,1,1)</f>
        <v>42963.208333333328</v>
      </c>
      <c r="R342" t="b">
        <v>0</v>
      </c>
      <c r="S342" t="b">
        <v>0</v>
      </c>
      <c r="T342" t="s">
        <v>33</v>
      </c>
      <c r="U342" t="str">
        <f>+LEFT(Table1[[#This Row],[category &amp; sub-category]],FIND("/",Table1[[#This Row],[category &amp; sub-category]])-1)</f>
        <v>theater</v>
      </c>
      <c r="V342" t="str">
        <f>+RIGHT(Table1[[#This Row],[category &amp; sub-category]],LEN(Table1[[#This Row],[category &amp; sub-category]])-SEARCH("/",Table1[[#This Row],[category &amp; sub-category]]))</f>
        <v>plays</v>
      </c>
    </row>
    <row r="343" spans="2:22" ht="15.75" customHeight="1" x14ac:dyDescent="0.25">
      <c r="B343">
        <v>340</v>
      </c>
      <c r="C343" t="s">
        <v>732</v>
      </c>
      <c r="D343" s="3" t="s">
        <v>733</v>
      </c>
      <c r="E343" s="6">
        <v>37100</v>
      </c>
      <c r="F343" s="6">
        <v>34964</v>
      </c>
      <c r="G343" s="17">
        <f>ROUND(Table1[[#This Row],[pledged]]/Table1[[#This Row],[goal]]*100,2)</f>
        <v>94.24</v>
      </c>
      <c r="H343" s="5">
        <f>+Table1[[#This Row],[pledged]]/Table1[[#This Row],[goal]]</f>
        <v>0.94242587601078165</v>
      </c>
      <c r="I343" t="s">
        <v>14</v>
      </c>
      <c r="J343">
        <v>393</v>
      </c>
      <c r="K343" s="8">
        <f>IFERROR(Table1[[#This Row],[pledged]]/Table1[[#This Row],[backers_count]],"NA")</f>
        <v>88.966921119592882</v>
      </c>
      <c r="L343" t="s">
        <v>21</v>
      </c>
      <c r="M343" t="s">
        <v>22</v>
      </c>
      <c r="N343">
        <v>1323669600</v>
      </c>
      <c r="O343">
        <v>1323756000</v>
      </c>
      <c r="P343" s="11">
        <f>+(((Table1[[#This Row],[launched_at]]/60)/60)/24)+DATE(1970,1,1)</f>
        <v>40889.25</v>
      </c>
      <c r="Q343" s="11">
        <f>+(((Table1[[#This Row],[deadline]]/60)/60)/24)+DATE(1970,1,1)</f>
        <v>40890.25</v>
      </c>
      <c r="R343" t="b">
        <v>0</v>
      </c>
      <c r="S343" t="b">
        <v>0</v>
      </c>
      <c r="T343" t="s">
        <v>122</v>
      </c>
      <c r="U343" t="str">
        <f>+LEFT(Table1[[#This Row],[category &amp; sub-category]],FIND("/",Table1[[#This Row],[category &amp; sub-category]])-1)</f>
        <v>photography</v>
      </c>
      <c r="V343" t="str">
        <f>+RIGHT(Table1[[#This Row],[category &amp; sub-category]],LEN(Table1[[#This Row],[category &amp; sub-category]])-SEARCH("/",Table1[[#This Row],[category &amp; sub-category]]))</f>
        <v>photography books</v>
      </c>
    </row>
    <row r="344" spans="2:22" ht="15.75" customHeight="1" x14ac:dyDescent="0.25">
      <c r="B344">
        <v>341</v>
      </c>
      <c r="C344" t="s">
        <v>734</v>
      </c>
      <c r="D344" s="3" t="s">
        <v>735</v>
      </c>
      <c r="E344" s="6">
        <v>114300</v>
      </c>
      <c r="F344" s="6">
        <v>96777</v>
      </c>
      <c r="G344" s="17">
        <f>ROUND(Table1[[#This Row],[pledged]]/Table1[[#This Row],[goal]]*100,2)</f>
        <v>84.67</v>
      </c>
      <c r="H344" s="5">
        <f>+Table1[[#This Row],[pledged]]/Table1[[#This Row],[goal]]</f>
        <v>0.84669291338582675</v>
      </c>
      <c r="I344" t="s">
        <v>14</v>
      </c>
      <c r="J344">
        <v>1257</v>
      </c>
      <c r="K344" s="8">
        <f>IFERROR(Table1[[#This Row],[pledged]]/Table1[[#This Row],[backers_count]],"NA")</f>
        <v>76.990453460620529</v>
      </c>
      <c r="L344" t="s">
        <v>21</v>
      </c>
      <c r="M344" t="s">
        <v>22</v>
      </c>
      <c r="N344">
        <v>1440738000</v>
      </c>
      <c r="O344">
        <v>1441342800</v>
      </c>
      <c r="P344" s="11">
        <f>+(((Table1[[#This Row],[launched_at]]/60)/60)/24)+DATE(1970,1,1)</f>
        <v>42244.208333333328</v>
      </c>
      <c r="Q344" s="11">
        <f>+(((Table1[[#This Row],[deadline]]/60)/60)/24)+DATE(1970,1,1)</f>
        <v>42251.208333333328</v>
      </c>
      <c r="R344" t="b">
        <v>0</v>
      </c>
      <c r="S344" t="b">
        <v>0</v>
      </c>
      <c r="T344" t="s">
        <v>60</v>
      </c>
      <c r="U344" t="str">
        <f>+LEFT(Table1[[#This Row],[category &amp; sub-category]],FIND("/",Table1[[#This Row],[category &amp; sub-category]])-1)</f>
        <v>music</v>
      </c>
      <c r="V344" t="str">
        <f>+RIGHT(Table1[[#This Row],[category &amp; sub-category]],LEN(Table1[[#This Row],[category &amp; sub-category]])-SEARCH("/",Table1[[#This Row],[category &amp; sub-category]]))</f>
        <v>indie rock</v>
      </c>
    </row>
    <row r="345" spans="2:22" ht="15.75" customHeight="1" x14ac:dyDescent="0.25">
      <c r="B345">
        <v>342</v>
      </c>
      <c r="C345" t="s">
        <v>736</v>
      </c>
      <c r="D345" s="3" t="s">
        <v>737</v>
      </c>
      <c r="E345" s="6">
        <v>47900</v>
      </c>
      <c r="F345" s="6">
        <v>31864</v>
      </c>
      <c r="G345" s="17">
        <f>ROUND(Table1[[#This Row],[pledged]]/Table1[[#This Row],[goal]]*100,2)</f>
        <v>66.52</v>
      </c>
      <c r="H345" s="5">
        <f>+Table1[[#This Row],[pledged]]/Table1[[#This Row],[goal]]</f>
        <v>0.66521920668058454</v>
      </c>
      <c r="I345" t="s">
        <v>14</v>
      </c>
      <c r="J345">
        <v>328</v>
      </c>
      <c r="K345" s="8">
        <f>IFERROR(Table1[[#This Row],[pledged]]/Table1[[#This Row],[backers_count]],"NA")</f>
        <v>97.146341463414629</v>
      </c>
      <c r="L345" t="s">
        <v>21</v>
      </c>
      <c r="M345" t="s">
        <v>22</v>
      </c>
      <c r="N345">
        <v>1374296400</v>
      </c>
      <c r="O345">
        <v>1375333200</v>
      </c>
      <c r="P345" s="11">
        <f>+(((Table1[[#This Row],[launched_at]]/60)/60)/24)+DATE(1970,1,1)</f>
        <v>41475.208333333336</v>
      </c>
      <c r="Q345" s="11">
        <f>+(((Table1[[#This Row],[deadline]]/60)/60)/24)+DATE(1970,1,1)</f>
        <v>41487.208333333336</v>
      </c>
      <c r="R345" t="b">
        <v>0</v>
      </c>
      <c r="S345" t="b">
        <v>0</v>
      </c>
      <c r="T345" t="s">
        <v>33</v>
      </c>
      <c r="U345" t="str">
        <f>+LEFT(Table1[[#This Row],[category &amp; sub-category]],FIND("/",Table1[[#This Row],[category &amp; sub-category]])-1)</f>
        <v>theater</v>
      </c>
      <c r="V345" t="str">
        <f>+RIGHT(Table1[[#This Row],[category &amp; sub-category]],LEN(Table1[[#This Row],[category &amp; sub-category]])-SEARCH("/",Table1[[#This Row],[category &amp; sub-category]]))</f>
        <v>plays</v>
      </c>
    </row>
    <row r="346" spans="2:22" ht="15.75" customHeight="1" x14ac:dyDescent="0.25">
      <c r="B346">
        <v>343</v>
      </c>
      <c r="C346" t="s">
        <v>738</v>
      </c>
      <c r="D346" s="3" t="s">
        <v>739</v>
      </c>
      <c r="E346" s="6">
        <v>9000</v>
      </c>
      <c r="F346" s="6">
        <v>4853</v>
      </c>
      <c r="G346" s="17">
        <f>ROUND(Table1[[#This Row],[pledged]]/Table1[[#This Row],[goal]]*100,2)</f>
        <v>53.92</v>
      </c>
      <c r="H346" s="5">
        <f>+Table1[[#This Row],[pledged]]/Table1[[#This Row],[goal]]</f>
        <v>0.53922222222222227</v>
      </c>
      <c r="I346" t="s">
        <v>14</v>
      </c>
      <c r="J346">
        <v>147</v>
      </c>
      <c r="K346" s="8">
        <f>IFERROR(Table1[[#This Row],[pledged]]/Table1[[#This Row],[backers_count]],"NA")</f>
        <v>33.013605442176868</v>
      </c>
      <c r="L346" t="s">
        <v>21</v>
      </c>
      <c r="M346" t="s">
        <v>22</v>
      </c>
      <c r="N346">
        <v>1384840800</v>
      </c>
      <c r="O346">
        <v>1389420000</v>
      </c>
      <c r="P346" s="11">
        <f>+(((Table1[[#This Row],[launched_at]]/60)/60)/24)+DATE(1970,1,1)</f>
        <v>41597.25</v>
      </c>
      <c r="Q346" s="11">
        <f>+(((Table1[[#This Row],[deadline]]/60)/60)/24)+DATE(1970,1,1)</f>
        <v>41650.25</v>
      </c>
      <c r="R346" t="b">
        <v>0</v>
      </c>
      <c r="S346" t="b">
        <v>0</v>
      </c>
      <c r="T346" t="s">
        <v>33</v>
      </c>
      <c r="U346" t="str">
        <f>+LEFT(Table1[[#This Row],[category &amp; sub-category]],FIND("/",Table1[[#This Row],[category &amp; sub-category]])-1)</f>
        <v>theater</v>
      </c>
      <c r="V346" t="str">
        <f>+RIGHT(Table1[[#This Row],[category &amp; sub-category]],LEN(Table1[[#This Row],[category &amp; sub-category]])-SEARCH("/",Table1[[#This Row],[category &amp; sub-category]]))</f>
        <v>plays</v>
      </c>
    </row>
    <row r="347" spans="2:22" ht="15.75" customHeight="1" x14ac:dyDescent="0.25">
      <c r="B347">
        <v>344</v>
      </c>
      <c r="C347" t="s">
        <v>740</v>
      </c>
      <c r="D347" s="3" t="s">
        <v>741</v>
      </c>
      <c r="E347" s="6">
        <v>197600</v>
      </c>
      <c r="F347" s="6">
        <v>82959</v>
      </c>
      <c r="G347" s="17">
        <f>ROUND(Table1[[#This Row],[pledged]]/Table1[[#This Row],[goal]]*100,2)</f>
        <v>41.98</v>
      </c>
      <c r="H347" s="5">
        <f>+Table1[[#This Row],[pledged]]/Table1[[#This Row],[goal]]</f>
        <v>0.41983299595141699</v>
      </c>
      <c r="I347" t="s">
        <v>14</v>
      </c>
      <c r="J347">
        <v>830</v>
      </c>
      <c r="K347" s="8">
        <f>IFERROR(Table1[[#This Row],[pledged]]/Table1[[#This Row],[backers_count]],"NA")</f>
        <v>99.950602409638549</v>
      </c>
      <c r="L347" t="s">
        <v>21</v>
      </c>
      <c r="M347" t="s">
        <v>22</v>
      </c>
      <c r="N347">
        <v>1516600800</v>
      </c>
      <c r="O347">
        <v>1520056800</v>
      </c>
      <c r="P347" s="11">
        <f>+(((Table1[[#This Row],[launched_at]]/60)/60)/24)+DATE(1970,1,1)</f>
        <v>43122.25</v>
      </c>
      <c r="Q347" s="11">
        <f>+(((Table1[[#This Row],[deadline]]/60)/60)/24)+DATE(1970,1,1)</f>
        <v>43162.25</v>
      </c>
      <c r="R347" t="b">
        <v>0</v>
      </c>
      <c r="S347" t="b">
        <v>0</v>
      </c>
      <c r="T347" t="s">
        <v>89</v>
      </c>
      <c r="U347" t="str">
        <f>+LEFT(Table1[[#This Row],[category &amp; sub-category]],FIND("/",Table1[[#This Row],[category &amp; sub-category]])-1)</f>
        <v>games</v>
      </c>
      <c r="V347" t="str">
        <f>+RIGHT(Table1[[#This Row],[category &amp; sub-category]],LEN(Table1[[#This Row],[category &amp; sub-category]])-SEARCH("/",Table1[[#This Row],[category &amp; sub-category]]))</f>
        <v>video games</v>
      </c>
    </row>
    <row r="348" spans="2:22" ht="15.75" customHeight="1" x14ac:dyDescent="0.25">
      <c r="B348">
        <v>345</v>
      </c>
      <c r="C348" t="s">
        <v>742</v>
      </c>
      <c r="D348" s="3" t="s">
        <v>743</v>
      </c>
      <c r="E348" s="6">
        <v>157600</v>
      </c>
      <c r="F348" s="6">
        <v>23159</v>
      </c>
      <c r="G348" s="17">
        <f>ROUND(Table1[[#This Row],[pledged]]/Table1[[#This Row],[goal]]*100,2)</f>
        <v>14.69</v>
      </c>
      <c r="H348" s="5">
        <f>+Table1[[#This Row],[pledged]]/Table1[[#This Row],[goal]]</f>
        <v>0.14694796954314721</v>
      </c>
      <c r="I348" t="s">
        <v>14</v>
      </c>
      <c r="J348">
        <v>331</v>
      </c>
      <c r="K348" s="8">
        <f>IFERROR(Table1[[#This Row],[pledged]]/Table1[[#This Row],[backers_count]],"NA")</f>
        <v>69.966767371601208</v>
      </c>
      <c r="L348" t="s">
        <v>40</v>
      </c>
      <c r="M348" t="s">
        <v>41</v>
      </c>
      <c r="N348">
        <v>1436418000</v>
      </c>
      <c r="O348">
        <v>1436504400</v>
      </c>
      <c r="P348" s="11">
        <f>+(((Table1[[#This Row],[launched_at]]/60)/60)/24)+DATE(1970,1,1)</f>
        <v>42194.208333333328</v>
      </c>
      <c r="Q348" s="11">
        <f>+(((Table1[[#This Row],[deadline]]/60)/60)/24)+DATE(1970,1,1)</f>
        <v>42195.208333333328</v>
      </c>
      <c r="R348" t="b">
        <v>0</v>
      </c>
      <c r="S348" t="b">
        <v>0</v>
      </c>
      <c r="T348" t="s">
        <v>53</v>
      </c>
      <c r="U348" t="str">
        <f>+LEFT(Table1[[#This Row],[category &amp; sub-category]],FIND("/",Table1[[#This Row],[category &amp; sub-category]])-1)</f>
        <v>film &amp; video</v>
      </c>
      <c r="V348" t="str">
        <f>+RIGHT(Table1[[#This Row],[category &amp; sub-category]],LEN(Table1[[#This Row],[category &amp; sub-category]])-SEARCH("/",Table1[[#This Row],[category &amp; sub-category]]))</f>
        <v>drama</v>
      </c>
    </row>
    <row r="349" spans="2:22" ht="15.75" customHeight="1" x14ac:dyDescent="0.25">
      <c r="B349">
        <v>346</v>
      </c>
      <c r="C349" t="s">
        <v>744</v>
      </c>
      <c r="D349" s="3" t="s">
        <v>745</v>
      </c>
      <c r="E349" s="6">
        <v>8000</v>
      </c>
      <c r="F349" s="6">
        <v>2758</v>
      </c>
      <c r="G349" s="17">
        <f>ROUND(Table1[[#This Row],[pledged]]/Table1[[#This Row],[goal]]*100,2)</f>
        <v>34.479999999999997</v>
      </c>
      <c r="H349" s="5">
        <f>+Table1[[#This Row],[pledged]]/Table1[[#This Row],[goal]]</f>
        <v>0.34475</v>
      </c>
      <c r="I349" t="s">
        <v>14</v>
      </c>
      <c r="J349">
        <v>25</v>
      </c>
      <c r="K349" s="8">
        <f>IFERROR(Table1[[#This Row],[pledged]]/Table1[[#This Row],[backers_count]],"NA")</f>
        <v>110.32</v>
      </c>
      <c r="L349" t="s">
        <v>21</v>
      </c>
      <c r="M349" t="s">
        <v>22</v>
      </c>
      <c r="N349">
        <v>1503550800</v>
      </c>
      <c r="O349">
        <v>1508302800</v>
      </c>
      <c r="P349" s="11">
        <f>+(((Table1[[#This Row],[launched_at]]/60)/60)/24)+DATE(1970,1,1)</f>
        <v>42971.208333333328</v>
      </c>
      <c r="Q349" s="11">
        <f>+(((Table1[[#This Row],[deadline]]/60)/60)/24)+DATE(1970,1,1)</f>
        <v>43026.208333333328</v>
      </c>
      <c r="R349" t="b">
        <v>0</v>
      </c>
      <c r="S349" t="b">
        <v>1</v>
      </c>
      <c r="T349" t="s">
        <v>60</v>
      </c>
      <c r="U349" t="str">
        <f>+LEFT(Table1[[#This Row],[category &amp; sub-category]],FIND("/",Table1[[#This Row],[category &amp; sub-category]])-1)</f>
        <v>music</v>
      </c>
      <c r="V349" t="str">
        <f>+RIGHT(Table1[[#This Row],[category &amp; sub-category]],LEN(Table1[[#This Row],[category &amp; sub-category]])-SEARCH("/",Table1[[#This Row],[category &amp; sub-category]]))</f>
        <v>indie rock</v>
      </c>
    </row>
    <row r="350" spans="2:22" ht="15.75" customHeight="1" x14ac:dyDescent="0.25">
      <c r="B350">
        <v>347</v>
      </c>
      <c r="C350" t="s">
        <v>746</v>
      </c>
      <c r="D350" s="3" t="s">
        <v>747</v>
      </c>
      <c r="E350" s="6">
        <v>900</v>
      </c>
      <c r="F350" s="6">
        <v>12607</v>
      </c>
      <c r="G350" s="17">
        <f>ROUND(Table1[[#This Row],[pledged]]/Table1[[#This Row],[goal]]*100,2)</f>
        <v>1400.78</v>
      </c>
      <c r="H350" s="5">
        <f>+Table1[[#This Row],[pledged]]/Table1[[#This Row],[goal]]</f>
        <v>14.007777777777777</v>
      </c>
      <c r="I350" t="s">
        <v>20</v>
      </c>
      <c r="J350">
        <v>191</v>
      </c>
      <c r="K350" s="8">
        <f>IFERROR(Table1[[#This Row],[pledged]]/Table1[[#This Row],[backers_count]],"NA")</f>
        <v>66.005235602094245</v>
      </c>
      <c r="L350" t="s">
        <v>21</v>
      </c>
      <c r="M350" t="s">
        <v>22</v>
      </c>
      <c r="N350">
        <v>1423634400</v>
      </c>
      <c r="O350">
        <v>1425708000</v>
      </c>
      <c r="P350" s="11">
        <f>+(((Table1[[#This Row],[launched_at]]/60)/60)/24)+DATE(1970,1,1)</f>
        <v>42046.25</v>
      </c>
      <c r="Q350" s="11">
        <f>+(((Table1[[#This Row],[deadline]]/60)/60)/24)+DATE(1970,1,1)</f>
        <v>42070.25</v>
      </c>
      <c r="R350" t="b">
        <v>0</v>
      </c>
      <c r="S350" t="b">
        <v>0</v>
      </c>
      <c r="T350" t="s">
        <v>28</v>
      </c>
      <c r="U350" t="str">
        <f>+LEFT(Table1[[#This Row],[category &amp; sub-category]],FIND("/",Table1[[#This Row],[category &amp; sub-category]])-1)</f>
        <v>technology</v>
      </c>
      <c r="V350" t="str">
        <f>+RIGHT(Table1[[#This Row],[category &amp; sub-category]],LEN(Table1[[#This Row],[category &amp; sub-category]])-SEARCH("/",Table1[[#This Row],[category &amp; sub-category]]))</f>
        <v>web</v>
      </c>
    </row>
    <row r="351" spans="2:22" ht="15.75" customHeight="1" x14ac:dyDescent="0.25">
      <c r="B351">
        <v>348</v>
      </c>
      <c r="C351" t="s">
        <v>748</v>
      </c>
      <c r="D351" s="3" t="s">
        <v>749</v>
      </c>
      <c r="E351" s="6">
        <v>199000</v>
      </c>
      <c r="F351" s="6">
        <v>142823</v>
      </c>
      <c r="G351" s="17">
        <f>ROUND(Table1[[#This Row],[pledged]]/Table1[[#This Row],[goal]]*100,2)</f>
        <v>71.77</v>
      </c>
      <c r="H351" s="5">
        <f>+Table1[[#This Row],[pledged]]/Table1[[#This Row],[goal]]</f>
        <v>0.71770351758793971</v>
      </c>
      <c r="I351" t="s">
        <v>14</v>
      </c>
      <c r="J351">
        <v>3483</v>
      </c>
      <c r="K351" s="8">
        <f>IFERROR(Table1[[#This Row],[pledged]]/Table1[[#This Row],[backers_count]],"NA")</f>
        <v>41.005742176284812</v>
      </c>
      <c r="L351" t="s">
        <v>21</v>
      </c>
      <c r="M351" t="s">
        <v>22</v>
      </c>
      <c r="N351">
        <v>1487224800</v>
      </c>
      <c r="O351">
        <v>1488348000</v>
      </c>
      <c r="P351" s="11">
        <f>+(((Table1[[#This Row],[launched_at]]/60)/60)/24)+DATE(1970,1,1)</f>
        <v>42782.25</v>
      </c>
      <c r="Q351" s="11">
        <f>+(((Table1[[#This Row],[deadline]]/60)/60)/24)+DATE(1970,1,1)</f>
        <v>42795.25</v>
      </c>
      <c r="R351" t="b">
        <v>0</v>
      </c>
      <c r="S351" t="b">
        <v>0</v>
      </c>
      <c r="T351" t="s">
        <v>17</v>
      </c>
      <c r="U351" t="str">
        <f>+LEFT(Table1[[#This Row],[category &amp; sub-category]],FIND("/",Table1[[#This Row],[category &amp; sub-category]])-1)</f>
        <v>food</v>
      </c>
      <c r="V351" t="str">
        <f>+RIGHT(Table1[[#This Row],[category &amp; sub-category]],LEN(Table1[[#This Row],[category &amp; sub-category]])-SEARCH("/",Table1[[#This Row],[category &amp; sub-category]]))</f>
        <v>food trucks</v>
      </c>
    </row>
    <row r="352" spans="2:22" ht="15.75" customHeight="1" x14ac:dyDescent="0.25">
      <c r="B352">
        <v>349</v>
      </c>
      <c r="C352" t="s">
        <v>750</v>
      </c>
      <c r="D352" s="3" t="s">
        <v>751</v>
      </c>
      <c r="E352" s="6">
        <v>180800</v>
      </c>
      <c r="F352" s="6">
        <v>95958</v>
      </c>
      <c r="G352" s="17">
        <f>ROUND(Table1[[#This Row],[pledged]]/Table1[[#This Row],[goal]]*100,2)</f>
        <v>53.07</v>
      </c>
      <c r="H352" s="5">
        <f>+Table1[[#This Row],[pledged]]/Table1[[#This Row],[goal]]</f>
        <v>0.53074115044247783</v>
      </c>
      <c r="I352" t="s">
        <v>14</v>
      </c>
      <c r="J352">
        <v>923</v>
      </c>
      <c r="K352" s="8">
        <f>IFERROR(Table1[[#This Row],[pledged]]/Table1[[#This Row],[backers_count]],"NA")</f>
        <v>103.96316359696641</v>
      </c>
      <c r="L352" t="s">
        <v>21</v>
      </c>
      <c r="M352" t="s">
        <v>22</v>
      </c>
      <c r="N352">
        <v>1500008400</v>
      </c>
      <c r="O352">
        <v>1502600400</v>
      </c>
      <c r="P352" s="11">
        <f>+(((Table1[[#This Row],[launched_at]]/60)/60)/24)+DATE(1970,1,1)</f>
        <v>42930.208333333328</v>
      </c>
      <c r="Q352" s="11">
        <f>+(((Table1[[#This Row],[deadline]]/60)/60)/24)+DATE(1970,1,1)</f>
        <v>42960.208333333328</v>
      </c>
      <c r="R352" t="b">
        <v>0</v>
      </c>
      <c r="S352" t="b">
        <v>0</v>
      </c>
      <c r="T352" t="s">
        <v>33</v>
      </c>
      <c r="U352" t="str">
        <f>+LEFT(Table1[[#This Row],[category &amp; sub-category]],FIND("/",Table1[[#This Row],[category &amp; sub-category]])-1)</f>
        <v>theater</v>
      </c>
      <c r="V352" t="str">
        <f>+RIGHT(Table1[[#This Row],[category &amp; sub-category]],LEN(Table1[[#This Row],[category &amp; sub-category]])-SEARCH("/",Table1[[#This Row],[category &amp; sub-category]]))</f>
        <v>plays</v>
      </c>
    </row>
    <row r="353" spans="2:22" ht="15.75" customHeight="1" x14ac:dyDescent="0.25">
      <c r="B353">
        <v>350</v>
      </c>
      <c r="C353" t="s">
        <v>752</v>
      </c>
      <c r="D353" s="3" t="s">
        <v>753</v>
      </c>
      <c r="E353" s="6">
        <v>100</v>
      </c>
      <c r="F353" s="6">
        <v>5</v>
      </c>
      <c r="G353" s="17">
        <f>ROUND(Table1[[#This Row],[pledged]]/Table1[[#This Row],[goal]]*100,2)</f>
        <v>5</v>
      </c>
      <c r="H353" s="5">
        <f>+Table1[[#This Row],[pledged]]/Table1[[#This Row],[goal]]</f>
        <v>0.05</v>
      </c>
      <c r="I353" t="s">
        <v>14</v>
      </c>
      <c r="J353">
        <v>1</v>
      </c>
      <c r="K353" s="8">
        <f>IFERROR(Table1[[#This Row],[pledged]]/Table1[[#This Row],[backers_count]],"NA")</f>
        <v>5</v>
      </c>
      <c r="L353" t="s">
        <v>21</v>
      </c>
      <c r="M353" t="s">
        <v>22</v>
      </c>
      <c r="N353">
        <v>1432098000</v>
      </c>
      <c r="O353">
        <v>1433653200</v>
      </c>
      <c r="P353" s="11">
        <f>+(((Table1[[#This Row],[launched_at]]/60)/60)/24)+DATE(1970,1,1)</f>
        <v>42144.208333333328</v>
      </c>
      <c r="Q353" s="11">
        <f>+(((Table1[[#This Row],[deadline]]/60)/60)/24)+DATE(1970,1,1)</f>
        <v>42162.208333333328</v>
      </c>
      <c r="R353" t="b">
        <v>0</v>
      </c>
      <c r="S353" t="b">
        <v>1</v>
      </c>
      <c r="T353" t="s">
        <v>159</v>
      </c>
      <c r="U353" t="str">
        <f>+LEFT(Table1[[#This Row],[category &amp; sub-category]],FIND("/",Table1[[#This Row],[category &amp; sub-category]])-1)</f>
        <v>music</v>
      </c>
      <c r="V353" t="str">
        <f>+RIGHT(Table1[[#This Row],[category &amp; sub-category]],LEN(Table1[[#This Row],[category &amp; sub-category]])-SEARCH("/",Table1[[#This Row],[category &amp; sub-category]]))</f>
        <v>jazz</v>
      </c>
    </row>
    <row r="354" spans="2:22" ht="15.75" customHeight="1" x14ac:dyDescent="0.25">
      <c r="B354">
        <v>351</v>
      </c>
      <c r="C354" t="s">
        <v>754</v>
      </c>
      <c r="D354" s="3" t="s">
        <v>755</v>
      </c>
      <c r="E354" s="6">
        <v>74100</v>
      </c>
      <c r="F354" s="6">
        <v>94631</v>
      </c>
      <c r="G354" s="17">
        <f>ROUND(Table1[[#This Row],[pledged]]/Table1[[#This Row],[goal]]*100,2)</f>
        <v>127.71</v>
      </c>
      <c r="H354" s="5">
        <f>+Table1[[#This Row],[pledged]]/Table1[[#This Row],[goal]]</f>
        <v>1.2770715249662619</v>
      </c>
      <c r="I354" t="s">
        <v>20</v>
      </c>
      <c r="J354">
        <v>2013</v>
      </c>
      <c r="K354" s="8">
        <f>IFERROR(Table1[[#This Row],[pledged]]/Table1[[#This Row],[backers_count]],"NA")</f>
        <v>47.009935419771487</v>
      </c>
      <c r="L354" t="s">
        <v>21</v>
      </c>
      <c r="M354" t="s">
        <v>22</v>
      </c>
      <c r="N354">
        <v>1440392400</v>
      </c>
      <c r="O354">
        <v>1441602000</v>
      </c>
      <c r="P354" s="11">
        <f>+(((Table1[[#This Row],[launched_at]]/60)/60)/24)+DATE(1970,1,1)</f>
        <v>42240.208333333328</v>
      </c>
      <c r="Q354" s="11">
        <f>+(((Table1[[#This Row],[deadline]]/60)/60)/24)+DATE(1970,1,1)</f>
        <v>42254.208333333328</v>
      </c>
      <c r="R354" t="b">
        <v>0</v>
      </c>
      <c r="S354" t="b">
        <v>0</v>
      </c>
      <c r="T354" t="s">
        <v>23</v>
      </c>
      <c r="U354" t="str">
        <f>+LEFT(Table1[[#This Row],[category &amp; sub-category]],FIND("/",Table1[[#This Row],[category &amp; sub-category]])-1)</f>
        <v>music</v>
      </c>
      <c r="V354" t="str">
        <f>+RIGHT(Table1[[#This Row],[category &amp; sub-category]],LEN(Table1[[#This Row],[category &amp; sub-category]])-SEARCH("/",Table1[[#This Row],[category &amp; sub-category]]))</f>
        <v>rock</v>
      </c>
    </row>
    <row r="355" spans="2:22" ht="15.75" customHeight="1" x14ac:dyDescent="0.25">
      <c r="B355">
        <v>352</v>
      </c>
      <c r="C355" t="s">
        <v>756</v>
      </c>
      <c r="D355" s="3" t="s">
        <v>757</v>
      </c>
      <c r="E355" s="6">
        <v>2800</v>
      </c>
      <c r="F355" s="6">
        <v>977</v>
      </c>
      <c r="G355" s="17">
        <f>ROUND(Table1[[#This Row],[pledged]]/Table1[[#This Row],[goal]]*100,2)</f>
        <v>34.89</v>
      </c>
      <c r="H355" s="5">
        <f>+Table1[[#This Row],[pledged]]/Table1[[#This Row],[goal]]</f>
        <v>0.34892857142857142</v>
      </c>
      <c r="I355" t="s">
        <v>14</v>
      </c>
      <c r="J355">
        <v>33</v>
      </c>
      <c r="K355" s="8">
        <f>IFERROR(Table1[[#This Row],[pledged]]/Table1[[#This Row],[backers_count]],"NA")</f>
        <v>29.606060606060606</v>
      </c>
      <c r="L355" t="s">
        <v>15</v>
      </c>
      <c r="M355" t="s">
        <v>16</v>
      </c>
      <c r="N355">
        <v>1446876000</v>
      </c>
      <c r="O355">
        <v>1447567200</v>
      </c>
      <c r="P355" s="11">
        <f>+(((Table1[[#This Row],[launched_at]]/60)/60)/24)+DATE(1970,1,1)</f>
        <v>42315.25</v>
      </c>
      <c r="Q355" s="11">
        <f>+(((Table1[[#This Row],[deadline]]/60)/60)/24)+DATE(1970,1,1)</f>
        <v>42323.25</v>
      </c>
      <c r="R355" t="b">
        <v>0</v>
      </c>
      <c r="S355" t="b">
        <v>0</v>
      </c>
      <c r="T355" t="s">
        <v>33</v>
      </c>
      <c r="U355" t="str">
        <f>+LEFT(Table1[[#This Row],[category &amp; sub-category]],FIND("/",Table1[[#This Row],[category &amp; sub-category]])-1)</f>
        <v>theater</v>
      </c>
      <c r="V355" t="str">
        <f>+RIGHT(Table1[[#This Row],[category &amp; sub-category]],LEN(Table1[[#This Row],[category &amp; sub-category]])-SEARCH("/",Table1[[#This Row],[category &amp; sub-category]]))</f>
        <v>plays</v>
      </c>
    </row>
    <row r="356" spans="2:22" ht="15.75" customHeight="1" x14ac:dyDescent="0.25">
      <c r="B356">
        <v>353</v>
      </c>
      <c r="C356" t="s">
        <v>758</v>
      </c>
      <c r="D356" s="3" t="s">
        <v>759</v>
      </c>
      <c r="E356" s="6">
        <v>33600</v>
      </c>
      <c r="F356" s="6">
        <v>137961</v>
      </c>
      <c r="G356" s="17">
        <f>ROUND(Table1[[#This Row],[pledged]]/Table1[[#This Row],[goal]]*100,2)</f>
        <v>410.6</v>
      </c>
      <c r="H356" s="5">
        <f>+Table1[[#This Row],[pledged]]/Table1[[#This Row],[goal]]</f>
        <v>4.105982142857143</v>
      </c>
      <c r="I356" t="s">
        <v>20</v>
      </c>
      <c r="J356">
        <v>1703</v>
      </c>
      <c r="K356" s="8">
        <f>IFERROR(Table1[[#This Row],[pledged]]/Table1[[#This Row],[backers_count]],"NA")</f>
        <v>81.010569583088667</v>
      </c>
      <c r="L356" t="s">
        <v>21</v>
      </c>
      <c r="M356" t="s">
        <v>22</v>
      </c>
      <c r="N356">
        <v>1562302800</v>
      </c>
      <c r="O356">
        <v>1562389200</v>
      </c>
      <c r="P356" s="11">
        <f>+(((Table1[[#This Row],[launched_at]]/60)/60)/24)+DATE(1970,1,1)</f>
        <v>43651.208333333328</v>
      </c>
      <c r="Q356" s="11">
        <f>+(((Table1[[#This Row],[deadline]]/60)/60)/24)+DATE(1970,1,1)</f>
        <v>43652.208333333328</v>
      </c>
      <c r="R356" t="b">
        <v>0</v>
      </c>
      <c r="S356" t="b">
        <v>0</v>
      </c>
      <c r="T356" t="s">
        <v>33</v>
      </c>
      <c r="U356" t="str">
        <f>+LEFT(Table1[[#This Row],[category &amp; sub-category]],FIND("/",Table1[[#This Row],[category &amp; sub-category]])-1)</f>
        <v>theater</v>
      </c>
      <c r="V356" t="str">
        <f>+RIGHT(Table1[[#This Row],[category &amp; sub-category]],LEN(Table1[[#This Row],[category &amp; sub-category]])-SEARCH("/",Table1[[#This Row],[category &amp; sub-category]]))</f>
        <v>plays</v>
      </c>
    </row>
    <row r="357" spans="2:22" ht="15.75" customHeight="1" x14ac:dyDescent="0.25">
      <c r="B357">
        <v>354</v>
      </c>
      <c r="C357" t="s">
        <v>760</v>
      </c>
      <c r="D357" s="3" t="s">
        <v>761</v>
      </c>
      <c r="E357" s="6">
        <v>6100</v>
      </c>
      <c r="F357" s="6">
        <v>7548</v>
      </c>
      <c r="G357" s="17">
        <f>ROUND(Table1[[#This Row],[pledged]]/Table1[[#This Row],[goal]]*100,2)</f>
        <v>123.74</v>
      </c>
      <c r="H357" s="5">
        <f>+Table1[[#This Row],[pledged]]/Table1[[#This Row],[goal]]</f>
        <v>1.2373770491803278</v>
      </c>
      <c r="I357" t="s">
        <v>20</v>
      </c>
      <c r="J357">
        <v>80</v>
      </c>
      <c r="K357" s="8">
        <f>IFERROR(Table1[[#This Row],[pledged]]/Table1[[#This Row],[backers_count]],"NA")</f>
        <v>94.35</v>
      </c>
      <c r="L357" t="s">
        <v>36</v>
      </c>
      <c r="M357" t="s">
        <v>37</v>
      </c>
      <c r="N357">
        <v>1378184400</v>
      </c>
      <c r="O357">
        <v>1378789200</v>
      </c>
      <c r="P357" s="11">
        <f>+(((Table1[[#This Row],[launched_at]]/60)/60)/24)+DATE(1970,1,1)</f>
        <v>41520.208333333336</v>
      </c>
      <c r="Q357" s="11">
        <f>+(((Table1[[#This Row],[deadline]]/60)/60)/24)+DATE(1970,1,1)</f>
        <v>41527.208333333336</v>
      </c>
      <c r="R357" t="b">
        <v>0</v>
      </c>
      <c r="S357" t="b">
        <v>0</v>
      </c>
      <c r="T357" t="s">
        <v>42</v>
      </c>
      <c r="U357" t="str">
        <f>+LEFT(Table1[[#This Row],[category &amp; sub-category]],FIND("/",Table1[[#This Row],[category &amp; sub-category]])-1)</f>
        <v>film &amp; video</v>
      </c>
      <c r="V357" t="str">
        <f>+RIGHT(Table1[[#This Row],[category &amp; sub-category]],LEN(Table1[[#This Row],[category &amp; sub-category]])-SEARCH("/",Table1[[#This Row],[category &amp; sub-category]]))</f>
        <v>documentary</v>
      </c>
    </row>
    <row r="358" spans="2:22" ht="15.75" customHeight="1" x14ac:dyDescent="0.25">
      <c r="B358">
        <v>355</v>
      </c>
      <c r="C358" t="s">
        <v>762</v>
      </c>
      <c r="D358" s="3" t="s">
        <v>763</v>
      </c>
      <c r="E358" s="6">
        <v>3800</v>
      </c>
      <c r="F358" s="6">
        <v>2241</v>
      </c>
      <c r="G358" s="17">
        <f>ROUND(Table1[[#This Row],[pledged]]/Table1[[#This Row],[goal]]*100,2)</f>
        <v>58.97</v>
      </c>
      <c r="H358" s="5">
        <f>+Table1[[#This Row],[pledged]]/Table1[[#This Row],[goal]]</f>
        <v>0.58973684210526311</v>
      </c>
      <c r="I358" t="s">
        <v>47</v>
      </c>
      <c r="J358">
        <v>86</v>
      </c>
      <c r="K358" s="8">
        <f>IFERROR(Table1[[#This Row],[pledged]]/Table1[[#This Row],[backers_count]],"NA")</f>
        <v>26.058139534883722</v>
      </c>
      <c r="L358" t="s">
        <v>21</v>
      </c>
      <c r="M358" t="s">
        <v>22</v>
      </c>
      <c r="N358">
        <v>1485064800</v>
      </c>
      <c r="O358">
        <v>1488520800</v>
      </c>
      <c r="P358" s="11">
        <f>+(((Table1[[#This Row],[launched_at]]/60)/60)/24)+DATE(1970,1,1)</f>
        <v>42757.25</v>
      </c>
      <c r="Q358" s="11">
        <f>+(((Table1[[#This Row],[deadline]]/60)/60)/24)+DATE(1970,1,1)</f>
        <v>42797.25</v>
      </c>
      <c r="R358" t="b">
        <v>0</v>
      </c>
      <c r="S358" t="b">
        <v>0</v>
      </c>
      <c r="T358" t="s">
        <v>65</v>
      </c>
      <c r="U358" t="str">
        <f>+LEFT(Table1[[#This Row],[category &amp; sub-category]],FIND("/",Table1[[#This Row],[category &amp; sub-category]])-1)</f>
        <v>technology</v>
      </c>
      <c r="V358" t="str">
        <f>+RIGHT(Table1[[#This Row],[category &amp; sub-category]],LEN(Table1[[#This Row],[category &amp; sub-category]])-SEARCH("/",Table1[[#This Row],[category &amp; sub-category]]))</f>
        <v>wearables</v>
      </c>
    </row>
    <row r="359" spans="2:22" ht="15.75" customHeight="1" x14ac:dyDescent="0.25">
      <c r="B359">
        <v>356</v>
      </c>
      <c r="C359" t="s">
        <v>764</v>
      </c>
      <c r="D359" s="3" t="s">
        <v>765</v>
      </c>
      <c r="E359" s="6">
        <v>9300</v>
      </c>
      <c r="F359" s="6">
        <v>3431</v>
      </c>
      <c r="G359" s="17">
        <f>ROUND(Table1[[#This Row],[pledged]]/Table1[[#This Row],[goal]]*100,2)</f>
        <v>36.89</v>
      </c>
      <c r="H359" s="5">
        <f>+Table1[[#This Row],[pledged]]/Table1[[#This Row],[goal]]</f>
        <v>0.36892473118279567</v>
      </c>
      <c r="I359" t="s">
        <v>14</v>
      </c>
      <c r="J359">
        <v>40</v>
      </c>
      <c r="K359" s="8">
        <f>IFERROR(Table1[[#This Row],[pledged]]/Table1[[#This Row],[backers_count]],"NA")</f>
        <v>85.775000000000006</v>
      </c>
      <c r="L359" t="s">
        <v>107</v>
      </c>
      <c r="M359" t="s">
        <v>108</v>
      </c>
      <c r="N359">
        <v>1326520800</v>
      </c>
      <c r="O359">
        <v>1327298400</v>
      </c>
      <c r="P359" s="11">
        <f>+(((Table1[[#This Row],[launched_at]]/60)/60)/24)+DATE(1970,1,1)</f>
        <v>40922.25</v>
      </c>
      <c r="Q359" s="11">
        <f>+(((Table1[[#This Row],[deadline]]/60)/60)/24)+DATE(1970,1,1)</f>
        <v>40931.25</v>
      </c>
      <c r="R359" t="b">
        <v>0</v>
      </c>
      <c r="S359" t="b">
        <v>0</v>
      </c>
      <c r="T359" t="s">
        <v>33</v>
      </c>
      <c r="U359" t="str">
        <f>+LEFT(Table1[[#This Row],[category &amp; sub-category]],FIND("/",Table1[[#This Row],[category &amp; sub-category]])-1)</f>
        <v>theater</v>
      </c>
      <c r="V359" t="str">
        <f>+RIGHT(Table1[[#This Row],[category &amp; sub-category]],LEN(Table1[[#This Row],[category &amp; sub-category]])-SEARCH("/",Table1[[#This Row],[category &amp; sub-category]]))</f>
        <v>plays</v>
      </c>
    </row>
    <row r="360" spans="2:22" ht="15.75" customHeight="1" x14ac:dyDescent="0.25">
      <c r="B360">
        <v>357</v>
      </c>
      <c r="C360" t="s">
        <v>766</v>
      </c>
      <c r="D360" s="3" t="s">
        <v>767</v>
      </c>
      <c r="E360" s="6">
        <v>2300</v>
      </c>
      <c r="F360" s="6">
        <v>4253</v>
      </c>
      <c r="G360" s="17">
        <f>ROUND(Table1[[#This Row],[pledged]]/Table1[[#This Row],[goal]]*100,2)</f>
        <v>184.91</v>
      </c>
      <c r="H360" s="5">
        <f>+Table1[[#This Row],[pledged]]/Table1[[#This Row],[goal]]</f>
        <v>1.8491304347826087</v>
      </c>
      <c r="I360" t="s">
        <v>20</v>
      </c>
      <c r="J360">
        <v>41</v>
      </c>
      <c r="K360" s="8">
        <f>IFERROR(Table1[[#This Row],[pledged]]/Table1[[#This Row],[backers_count]],"NA")</f>
        <v>103.73170731707317</v>
      </c>
      <c r="L360" t="s">
        <v>21</v>
      </c>
      <c r="M360" t="s">
        <v>22</v>
      </c>
      <c r="N360">
        <v>1441256400</v>
      </c>
      <c r="O360">
        <v>1443416400</v>
      </c>
      <c r="P360" s="11">
        <f>+(((Table1[[#This Row],[launched_at]]/60)/60)/24)+DATE(1970,1,1)</f>
        <v>42250.208333333328</v>
      </c>
      <c r="Q360" s="11">
        <f>+(((Table1[[#This Row],[deadline]]/60)/60)/24)+DATE(1970,1,1)</f>
        <v>42275.208333333328</v>
      </c>
      <c r="R360" t="b">
        <v>0</v>
      </c>
      <c r="S360" t="b">
        <v>0</v>
      </c>
      <c r="T360" t="s">
        <v>89</v>
      </c>
      <c r="U360" t="str">
        <f>+LEFT(Table1[[#This Row],[category &amp; sub-category]],FIND("/",Table1[[#This Row],[category &amp; sub-category]])-1)</f>
        <v>games</v>
      </c>
      <c r="V360" t="str">
        <f>+RIGHT(Table1[[#This Row],[category &amp; sub-category]],LEN(Table1[[#This Row],[category &amp; sub-category]])-SEARCH("/",Table1[[#This Row],[category &amp; sub-category]]))</f>
        <v>video games</v>
      </c>
    </row>
    <row r="361" spans="2:22" ht="15.75" customHeight="1" x14ac:dyDescent="0.25">
      <c r="B361">
        <v>358</v>
      </c>
      <c r="C361" t="s">
        <v>768</v>
      </c>
      <c r="D361" s="3" t="s">
        <v>769</v>
      </c>
      <c r="E361" s="6">
        <v>9700</v>
      </c>
      <c r="F361" s="6">
        <v>1146</v>
      </c>
      <c r="G361" s="17">
        <f>ROUND(Table1[[#This Row],[pledged]]/Table1[[#This Row],[goal]]*100,2)</f>
        <v>11.81</v>
      </c>
      <c r="H361" s="5">
        <f>+Table1[[#This Row],[pledged]]/Table1[[#This Row],[goal]]</f>
        <v>0.11814432989690722</v>
      </c>
      <c r="I361" t="s">
        <v>14</v>
      </c>
      <c r="J361">
        <v>23</v>
      </c>
      <c r="K361" s="8">
        <f>IFERROR(Table1[[#This Row],[pledged]]/Table1[[#This Row],[backers_count]],"NA")</f>
        <v>49.826086956521742</v>
      </c>
      <c r="L361" t="s">
        <v>15</v>
      </c>
      <c r="M361" t="s">
        <v>16</v>
      </c>
      <c r="N361">
        <v>1533877200</v>
      </c>
      <c r="O361">
        <v>1534136400</v>
      </c>
      <c r="P361" s="11">
        <f>+(((Table1[[#This Row],[launched_at]]/60)/60)/24)+DATE(1970,1,1)</f>
        <v>43322.208333333328</v>
      </c>
      <c r="Q361" s="11">
        <f>+(((Table1[[#This Row],[deadline]]/60)/60)/24)+DATE(1970,1,1)</f>
        <v>43325.208333333328</v>
      </c>
      <c r="R361" t="b">
        <v>1</v>
      </c>
      <c r="S361" t="b">
        <v>0</v>
      </c>
      <c r="T361" t="s">
        <v>122</v>
      </c>
      <c r="U361" t="str">
        <f>+LEFT(Table1[[#This Row],[category &amp; sub-category]],FIND("/",Table1[[#This Row],[category &amp; sub-category]])-1)</f>
        <v>photography</v>
      </c>
      <c r="V361" t="str">
        <f>+RIGHT(Table1[[#This Row],[category &amp; sub-category]],LEN(Table1[[#This Row],[category &amp; sub-category]])-SEARCH("/",Table1[[#This Row],[category &amp; sub-category]]))</f>
        <v>photography books</v>
      </c>
    </row>
    <row r="362" spans="2:22" ht="15.75" customHeight="1" x14ac:dyDescent="0.25">
      <c r="B362">
        <v>359</v>
      </c>
      <c r="C362" t="s">
        <v>770</v>
      </c>
      <c r="D362" s="3" t="s">
        <v>771</v>
      </c>
      <c r="E362" s="6">
        <v>4000</v>
      </c>
      <c r="F362" s="6">
        <v>11948</v>
      </c>
      <c r="G362" s="17">
        <f>ROUND(Table1[[#This Row],[pledged]]/Table1[[#This Row],[goal]]*100,2)</f>
        <v>298.7</v>
      </c>
      <c r="H362" s="5">
        <f>+Table1[[#This Row],[pledged]]/Table1[[#This Row],[goal]]</f>
        <v>2.9870000000000001</v>
      </c>
      <c r="I362" t="s">
        <v>20</v>
      </c>
      <c r="J362">
        <v>187</v>
      </c>
      <c r="K362" s="8">
        <f>IFERROR(Table1[[#This Row],[pledged]]/Table1[[#This Row],[backers_count]],"NA")</f>
        <v>63.893048128342244</v>
      </c>
      <c r="L362" t="s">
        <v>21</v>
      </c>
      <c r="M362" t="s">
        <v>22</v>
      </c>
      <c r="N362">
        <v>1314421200</v>
      </c>
      <c r="O362">
        <v>1315026000</v>
      </c>
      <c r="P362" s="11">
        <f>+(((Table1[[#This Row],[launched_at]]/60)/60)/24)+DATE(1970,1,1)</f>
        <v>40782.208333333336</v>
      </c>
      <c r="Q362" s="11">
        <f>+(((Table1[[#This Row],[deadline]]/60)/60)/24)+DATE(1970,1,1)</f>
        <v>40789.208333333336</v>
      </c>
      <c r="R362" t="b">
        <v>0</v>
      </c>
      <c r="S362" t="b">
        <v>0</v>
      </c>
      <c r="T362" t="s">
        <v>71</v>
      </c>
      <c r="U362" t="str">
        <f>+LEFT(Table1[[#This Row],[category &amp; sub-category]],FIND("/",Table1[[#This Row],[category &amp; sub-category]])-1)</f>
        <v>film &amp; video</v>
      </c>
      <c r="V362" t="str">
        <f>+RIGHT(Table1[[#This Row],[category &amp; sub-category]],LEN(Table1[[#This Row],[category &amp; sub-category]])-SEARCH("/",Table1[[#This Row],[category &amp; sub-category]]))</f>
        <v>animation</v>
      </c>
    </row>
    <row r="363" spans="2:22" ht="15.75" customHeight="1" x14ac:dyDescent="0.25">
      <c r="B363">
        <v>360</v>
      </c>
      <c r="C363" t="s">
        <v>772</v>
      </c>
      <c r="D363" s="3" t="s">
        <v>773</v>
      </c>
      <c r="E363" s="6">
        <v>59700</v>
      </c>
      <c r="F363" s="6">
        <v>135132</v>
      </c>
      <c r="G363" s="17">
        <f>ROUND(Table1[[#This Row],[pledged]]/Table1[[#This Row],[goal]]*100,2)</f>
        <v>226.35</v>
      </c>
      <c r="H363" s="5">
        <f>+Table1[[#This Row],[pledged]]/Table1[[#This Row],[goal]]</f>
        <v>2.2635175879396985</v>
      </c>
      <c r="I363" t="s">
        <v>20</v>
      </c>
      <c r="J363">
        <v>2875</v>
      </c>
      <c r="K363" s="8">
        <f>IFERROR(Table1[[#This Row],[pledged]]/Table1[[#This Row],[backers_count]],"NA")</f>
        <v>47.002434782608695</v>
      </c>
      <c r="L363" t="s">
        <v>40</v>
      </c>
      <c r="M363" t="s">
        <v>41</v>
      </c>
      <c r="N363">
        <v>1293861600</v>
      </c>
      <c r="O363">
        <v>1295071200</v>
      </c>
      <c r="P363" s="11">
        <f>+(((Table1[[#This Row],[launched_at]]/60)/60)/24)+DATE(1970,1,1)</f>
        <v>40544.25</v>
      </c>
      <c r="Q363" s="11">
        <f>+(((Table1[[#This Row],[deadline]]/60)/60)/24)+DATE(1970,1,1)</f>
        <v>40558.25</v>
      </c>
      <c r="R363" t="b">
        <v>0</v>
      </c>
      <c r="S363" t="b">
        <v>1</v>
      </c>
      <c r="T363" t="s">
        <v>33</v>
      </c>
      <c r="U363" t="str">
        <f>+LEFT(Table1[[#This Row],[category &amp; sub-category]],FIND("/",Table1[[#This Row],[category &amp; sub-category]])-1)</f>
        <v>theater</v>
      </c>
      <c r="V363" t="str">
        <f>+RIGHT(Table1[[#This Row],[category &amp; sub-category]],LEN(Table1[[#This Row],[category &amp; sub-category]])-SEARCH("/",Table1[[#This Row],[category &amp; sub-category]]))</f>
        <v>plays</v>
      </c>
    </row>
    <row r="364" spans="2:22" ht="15.75" customHeight="1" x14ac:dyDescent="0.25">
      <c r="B364">
        <v>361</v>
      </c>
      <c r="C364" t="s">
        <v>774</v>
      </c>
      <c r="D364" s="3" t="s">
        <v>775</v>
      </c>
      <c r="E364" s="6">
        <v>5500</v>
      </c>
      <c r="F364" s="6">
        <v>9546</v>
      </c>
      <c r="G364" s="17">
        <f>ROUND(Table1[[#This Row],[pledged]]/Table1[[#This Row],[goal]]*100,2)</f>
        <v>173.56</v>
      </c>
      <c r="H364" s="5">
        <f>+Table1[[#This Row],[pledged]]/Table1[[#This Row],[goal]]</f>
        <v>1.7356363636363636</v>
      </c>
      <c r="I364" t="s">
        <v>20</v>
      </c>
      <c r="J364">
        <v>88</v>
      </c>
      <c r="K364" s="8">
        <f>IFERROR(Table1[[#This Row],[pledged]]/Table1[[#This Row],[backers_count]],"NA")</f>
        <v>108.47727272727273</v>
      </c>
      <c r="L364" t="s">
        <v>21</v>
      </c>
      <c r="M364" t="s">
        <v>22</v>
      </c>
      <c r="N364">
        <v>1507352400</v>
      </c>
      <c r="O364">
        <v>1509426000</v>
      </c>
      <c r="P364" s="11">
        <f>+(((Table1[[#This Row],[launched_at]]/60)/60)/24)+DATE(1970,1,1)</f>
        <v>43015.208333333328</v>
      </c>
      <c r="Q364" s="11">
        <f>+(((Table1[[#This Row],[deadline]]/60)/60)/24)+DATE(1970,1,1)</f>
        <v>43039.208333333328</v>
      </c>
      <c r="R364" t="b">
        <v>0</v>
      </c>
      <c r="S364" t="b">
        <v>0</v>
      </c>
      <c r="T364" t="s">
        <v>33</v>
      </c>
      <c r="U364" t="str">
        <f>+LEFT(Table1[[#This Row],[category &amp; sub-category]],FIND("/",Table1[[#This Row],[category &amp; sub-category]])-1)</f>
        <v>theater</v>
      </c>
      <c r="V364" t="str">
        <f>+RIGHT(Table1[[#This Row],[category &amp; sub-category]],LEN(Table1[[#This Row],[category &amp; sub-category]])-SEARCH("/",Table1[[#This Row],[category &amp; sub-category]]))</f>
        <v>plays</v>
      </c>
    </row>
    <row r="365" spans="2:22" ht="15.75" customHeight="1" x14ac:dyDescent="0.25">
      <c r="B365">
        <v>362</v>
      </c>
      <c r="C365" t="s">
        <v>776</v>
      </c>
      <c r="D365" s="3" t="s">
        <v>777</v>
      </c>
      <c r="E365" s="6">
        <v>3700</v>
      </c>
      <c r="F365" s="6">
        <v>13755</v>
      </c>
      <c r="G365" s="17">
        <f>ROUND(Table1[[#This Row],[pledged]]/Table1[[#This Row],[goal]]*100,2)</f>
        <v>371.76</v>
      </c>
      <c r="H365" s="5">
        <f>+Table1[[#This Row],[pledged]]/Table1[[#This Row],[goal]]</f>
        <v>3.7175675675675675</v>
      </c>
      <c r="I365" t="s">
        <v>20</v>
      </c>
      <c r="J365">
        <v>191</v>
      </c>
      <c r="K365" s="8">
        <f>IFERROR(Table1[[#This Row],[pledged]]/Table1[[#This Row],[backers_count]],"NA")</f>
        <v>72.015706806282722</v>
      </c>
      <c r="L365" t="s">
        <v>21</v>
      </c>
      <c r="M365" t="s">
        <v>22</v>
      </c>
      <c r="N365">
        <v>1296108000</v>
      </c>
      <c r="O365">
        <v>1299391200</v>
      </c>
      <c r="P365" s="11">
        <f>+(((Table1[[#This Row],[launched_at]]/60)/60)/24)+DATE(1970,1,1)</f>
        <v>40570.25</v>
      </c>
      <c r="Q365" s="11">
        <f>+(((Table1[[#This Row],[deadline]]/60)/60)/24)+DATE(1970,1,1)</f>
        <v>40608.25</v>
      </c>
      <c r="R365" t="b">
        <v>0</v>
      </c>
      <c r="S365" t="b">
        <v>0</v>
      </c>
      <c r="T365" t="s">
        <v>23</v>
      </c>
      <c r="U365" t="str">
        <f>+LEFT(Table1[[#This Row],[category &amp; sub-category]],FIND("/",Table1[[#This Row],[category &amp; sub-category]])-1)</f>
        <v>music</v>
      </c>
      <c r="V365" t="str">
        <f>+RIGHT(Table1[[#This Row],[category &amp; sub-category]],LEN(Table1[[#This Row],[category &amp; sub-category]])-SEARCH("/",Table1[[#This Row],[category &amp; sub-category]]))</f>
        <v>rock</v>
      </c>
    </row>
    <row r="366" spans="2:22" ht="15.75" customHeight="1" x14ac:dyDescent="0.25">
      <c r="B366">
        <v>363</v>
      </c>
      <c r="C366" t="s">
        <v>778</v>
      </c>
      <c r="D366" s="3" t="s">
        <v>779</v>
      </c>
      <c r="E366" s="6">
        <v>5200</v>
      </c>
      <c r="F366" s="6">
        <v>8330</v>
      </c>
      <c r="G366" s="17">
        <f>ROUND(Table1[[#This Row],[pledged]]/Table1[[#This Row],[goal]]*100,2)</f>
        <v>160.19</v>
      </c>
      <c r="H366" s="5">
        <f>+Table1[[#This Row],[pledged]]/Table1[[#This Row],[goal]]</f>
        <v>1.601923076923077</v>
      </c>
      <c r="I366" t="s">
        <v>20</v>
      </c>
      <c r="J366">
        <v>139</v>
      </c>
      <c r="K366" s="8">
        <f>IFERROR(Table1[[#This Row],[pledged]]/Table1[[#This Row],[backers_count]],"NA")</f>
        <v>59.928057553956833</v>
      </c>
      <c r="L366" t="s">
        <v>21</v>
      </c>
      <c r="M366" t="s">
        <v>22</v>
      </c>
      <c r="N366">
        <v>1324965600</v>
      </c>
      <c r="O366">
        <v>1325052000</v>
      </c>
      <c r="P366" s="11">
        <f>+(((Table1[[#This Row],[launched_at]]/60)/60)/24)+DATE(1970,1,1)</f>
        <v>40904.25</v>
      </c>
      <c r="Q366" s="11">
        <f>+(((Table1[[#This Row],[deadline]]/60)/60)/24)+DATE(1970,1,1)</f>
        <v>40905.25</v>
      </c>
      <c r="R366" t="b">
        <v>0</v>
      </c>
      <c r="S366" t="b">
        <v>0</v>
      </c>
      <c r="T366" t="s">
        <v>23</v>
      </c>
      <c r="U366" t="str">
        <f>+LEFT(Table1[[#This Row],[category &amp; sub-category]],FIND("/",Table1[[#This Row],[category &amp; sub-category]])-1)</f>
        <v>music</v>
      </c>
      <c r="V366" t="str">
        <f>+RIGHT(Table1[[#This Row],[category &amp; sub-category]],LEN(Table1[[#This Row],[category &amp; sub-category]])-SEARCH("/",Table1[[#This Row],[category &amp; sub-category]]))</f>
        <v>rock</v>
      </c>
    </row>
    <row r="367" spans="2:22" ht="15.75" customHeight="1" x14ac:dyDescent="0.25">
      <c r="B367">
        <v>364</v>
      </c>
      <c r="C367" t="s">
        <v>780</v>
      </c>
      <c r="D367" s="3" t="s">
        <v>781</v>
      </c>
      <c r="E367" s="6">
        <v>900</v>
      </c>
      <c r="F367" s="6">
        <v>14547</v>
      </c>
      <c r="G367" s="17">
        <f>ROUND(Table1[[#This Row],[pledged]]/Table1[[#This Row],[goal]]*100,2)</f>
        <v>1616.33</v>
      </c>
      <c r="H367" s="5">
        <f>+Table1[[#This Row],[pledged]]/Table1[[#This Row],[goal]]</f>
        <v>16.163333333333334</v>
      </c>
      <c r="I367" t="s">
        <v>20</v>
      </c>
      <c r="J367">
        <v>186</v>
      </c>
      <c r="K367" s="8">
        <f>IFERROR(Table1[[#This Row],[pledged]]/Table1[[#This Row],[backers_count]],"NA")</f>
        <v>78.209677419354833</v>
      </c>
      <c r="L367" t="s">
        <v>21</v>
      </c>
      <c r="M367" t="s">
        <v>22</v>
      </c>
      <c r="N367">
        <v>1520229600</v>
      </c>
      <c r="O367">
        <v>1522818000</v>
      </c>
      <c r="P367" s="11">
        <f>+(((Table1[[#This Row],[launched_at]]/60)/60)/24)+DATE(1970,1,1)</f>
        <v>43164.25</v>
      </c>
      <c r="Q367" s="11">
        <f>+(((Table1[[#This Row],[deadline]]/60)/60)/24)+DATE(1970,1,1)</f>
        <v>43194.208333333328</v>
      </c>
      <c r="R367" t="b">
        <v>0</v>
      </c>
      <c r="S367" t="b">
        <v>0</v>
      </c>
      <c r="T367" t="s">
        <v>60</v>
      </c>
      <c r="U367" t="str">
        <f>+LEFT(Table1[[#This Row],[category &amp; sub-category]],FIND("/",Table1[[#This Row],[category &amp; sub-category]])-1)</f>
        <v>music</v>
      </c>
      <c r="V367" t="str">
        <f>+RIGHT(Table1[[#This Row],[category &amp; sub-category]],LEN(Table1[[#This Row],[category &amp; sub-category]])-SEARCH("/",Table1[[#This Row],[category &amp; sub-category]]))</f>
        <v>indie rock</v>
      </c>
    </row>
    <row r="368" spans="2:22" ht="15.75" customHeight="1" x14ac:dyDescent="0.25">
      <c r="B368">
        <v>365</v>
      </c>
      <c r="C368" t="s">
        <v>782</v>
      </c>
      <c r="D368" s="3" t="s">
        <v>783</v>
      </c>
      <c r="E368" s="6">
        <v>1600</v>
      </c>
      <c r="F368" s="6">
        <v>11735</v>
      </c>
      <c r="G368" s="17">
        <f>ROUND(Table1[[#This Row],[pledged]]/Table1[[#This Row],[goal]]*100,2)</f>
        <v>733.44</v>
      </c>
      <c r="H368" s="5">
        <f>+Table1[[#This Row],[pledged]]/Table1[[#This Row],[goal]]</f>
        <v>7.3343749999999996</v>
      </c>
      <c r="I368" t="s">
        <v>20</v>
      </c>
      <c r="J368">
        <v>112</v>
      </c>
      <c r="K368" s="8">
        <f>IFERROR(Table1[[#This Row],[pledged]]/Table1[[#This Row],[backers_count]],"NA")</f>
        <v>104.77678571428571</v>
      </c>
      <c r="L368" t="s">
        <v>26</v>
      </c>
      <c r="M368" t="s">
        <v>27</v>
      </c>
      <c r="N368">
        <v>1482991200</v>
      </c>
      <c r="O368">
        <v>1485324000</v>
      </c>
      <c r="P368" s="11">
        <f>+(((Table1[[#This Row],[launched_at]]/60)/60)/24)+DATE(1970,1,1)</f>
        <v>42733.25</v>
      </c>
      <c r="Q368" s="11">
        <f>+(((Table1[[#This Row],[deadline]]/60)/60)/24)+DATE(1970,1,1)</f>
        <v>42760.25</v>
      </c>
      <c r="R368" t="b">
        <v>0</v>
      </c>
      <c r="S368" t="b">
        <v>0</v>
      </c>
      <c r="T368" t="s">
        <v>33</v>
      </c>
      <c r="U368" t="str">
        <f>+LEFT(Table1[[#This Row],[category &amp; sub-category]],FIND("/",Table1[[#This Row],[category &amp; sub-category]])-1)</f>
        <v>theater</v>
      </c>
      <c r="V368" t="str">
        <f>+RIGHT(Table1[[#This Row],[category &amp; sub-category]],LEN(Table1[[#This Row],[category &amp; sub-category]])-SEARCH("/",Table1[[#This Row],[category &amp; sub-category]]))</f>
        <v>plays</v>
      </c>
    </row>
    <row r="369" spans="2:22" ht="15.75" customHeight="1" x14ac:dyDescent="0.25">
      <c r="B369">
        <v>366</v>
      </c>
      <c r="C369" t="s">
        <v>784</v>
      </c>
      <c r="D369" s="3" t="s">
        <v>785</v>
      </c>
      <c r="E369" s="6">
        <v>1800</v>
      </c>
      <c r="F369" s="6">
        <v>10658</v>
      </c>
      <c r="G369" s="17">
        <f>ROUND(Table1[[#This Row],[pledged]]/Table1[[#This Row],[goal]]*100,2)</f>
        <v>592.11</v>
      </c>
      <c r="H369" s="5">
        <f>+Table1[[#This Row],[pledged]]/Table1[[#This Row],[goal]]</f>
        <v>5.9211111111111112</v>
      </c>
      <c r="I369" t="s">
        <v>20</v>
      </c>
      <c r="J369">
        <v>101</v>
      </c>
      <c r="K369" s="8">
        <f>IFERROR(Table1[[#This Row],[pledged]]/Table1[[#This Row],[backers_count]],"NA")</f>
        <v>105.52475247524752</v>
      </c>
      <c r="L369" t="s">
        <v>21</v>
      </c>
      <c r="M369" t="s">
        <v>22</v>
      </c>
      <c r="N369">
        <v>1294034400</v>
      </c>
      <c r="O369">
        <v>1294120800</v>
      </c>
      <c r="P369" s="11">
        <f>+(((Table1[[#This Row],[launched_at]]/60)/60)/24)+DATE(1970,1,1)</f>
        <v>40546.25</v>
      </c>
      <c r="Q369" s="11">
        <f>+(((Table1[[#This Row],[deadline]]/60)/60)/24)+DATE(1970,1,1)</f>
        <v>40547.25</v>
      </c>
      <c r="R369" t="b">
        <v>0</v>
      </c>
      <c r="S369" t="b">
        <v>1</v>
      </c>
      <c r="T369" t="s">
        <v>33</v>
      </c>
      <c r="U369" t="str">
        <f>+LEFT(Table1[[#This Row],[category &amp; sub-category]],FIND("/",Table1[[#This Row],[category &amp; sub-category]])-1)</f>
        <v>theater</v>
      </c>
      <c r="V369" t="str">
        <f>+RIGHT(Table1[[#This Row],[category &amp; sub-category]],LEN(Table1[[#This Row],[category &amp; sub-category]])-SEARCH("/",Table1[[#This Row],[category &amp; sub-category]]))</f>
        <v>plays</v>
      </c>
    </row>
    <row r="370" spans="2:22" ht="15.75" customHeight="1" x14ac:dyDescent="0.25">
      <c r="B370">
        <v>367</v>
      </c>
      <c r="C370" t="s">
        <v>786</v>
      </c>
      <c r="D370" s="3" t="s">
        <v>787</v>
      </c>
      <c r="E370" s="6">
        <v>9900</v>
      </c>
      <c r="F370" s="6">
        <v>1870</v>
      </c>
      <c r="G370" s="17">
        <f>ROUND(Table1[[#This Row],[pledged]]/Table1[[#This Row],[goal]]*100,2)</f>
        <v>18.89</v>
      </c>
      <c r="H370" s="5">
        <f>+Table1[[#This Row],[pledged]]/Table1[[#This Row],[goal]]</f>
        <v>0.18888888888888888</v>
      </c>
      <c r="I370" t="s">
        <v>14</v>
      </c>
      <c r="J370">
        <v>75</v>
      </c>
      <c r="K370" s="8">
        <f>IFERROR(Table1[[#This Row],[pledged]]/Table1[[#This Row],[backers_count]],"NA")</f>
        <v>24.933333333333334</v>
      </c>
      <c r="L370" t="s">
        <v>21</v>
      </c>
      <c r="M370" t="s">
        <v>22</v>
      </c>
      <c r="N370">
        <v>1413608400</v>
      </c>
      <c r="O370">
        <v>1415685600</v>
      </c>
      <c r="P370" s="11">
        <f>+(((Table1[[#This Row],[launched_at]]/60)/60)/24)+DATE(1970,1,1)</f>
        <v>41930.208333333336</v>
      </c>
      <c r="Q370" s="11">
        <f>+(((Table1[[#This Row],[deadline]]/60)/60)/24)+DATE(1970,1,1)</f>
        <v>41954.25</v>
      </c>
      <c r="R370" t="b">
        <v>0</v>
      </c>
      <c r="S370" t="b">
        <v>1</v>
      </c>
      <c r="T370" t="s">
        <v>33</v>
      </c>
      <c r="U370" t="str">
        <f>+LEFT(Table1[[#This Row],[category &amp; sub-category]],FIND("/",Table1[[#This Row],[category &amp; sub-category]])-1)</f>
        <v>theater</v>
      </c>
      <c r="V370" t="str">
        <f>+RIGHT(Table1[[#This Row],[category &amp; sub-category]],LEN(Table1[[#This Row],[category &amp; sub-category]])-SEARCH("/",Table1[[#This Row],[category &amp; sub-category]]))</f>
        <v>plays</v>
      </c>
    </row>
    <row r="371" spans="2:22" ht="15.75" customHeight="1" x14ac:dyDescent="0.25">
      <c r="B371">
        <v>368</v>
      </c>
      <c r="C371" t="s">
        <v>788</v>
      </c>
      <c r="D371" s="3" t="s">
        <v>789</v>
      </c>
      <c r="E371" s="6">
        <v>5200</v>
      </c>
      <c r="F371" s="6">
        <v>14394</v>
      </c>
      <c r="G371" s="17">
        <f>ROUND(Table1[[#This Row],[pledged]]/Table1[[#This Row],[goal]]*100,2)</f>
        <v>276.81</v>
      </c>
      <c r="H371" s="5">
        <f>+Table1[[#This Row],[pledged]]/Table1[[#This Row],[goal]]</f>
        <v>2.7680769230769231</v>
      </c>
      <c r="I371" t="s">
        <v>20</v>
      </c>
      <c r="J371">
        <v>206</v>
      </c>
      <c r="K371" s="8">
        <f>IFERROR(Table1[[#This Row],[pledged]]/Table1[[#This Row],[backers_count]],"NA")</f>
        <v>69.873786407766985</v>
      </c>
      <c r="L371" t="s">
        <v>40</v>
      </c>
      <c r="M371" t="s">
        <v>41</v>
      </c>
      <c r="N371">
        <v>1286946000</v>
      </c>
      <c r="O371">
        <v>1288933200</v>
      </c>
      <c r="P371" s="11">
        <f>+(((Table1[[#This Row],[launched_at]]/60)/60)/24)+DATE(1970,1,1)</f>
        <v>40464.208333333336</v>
      </c>
      <c r="Q371" s="11">
        <f>+(((Table1[[#This Row],[deadline]]/60)/60)/24)+DATE(1970,1,1)</f>
        <v>40487.208333333336</v>
      </c>
      <c r="R371" t="b">
        <v>0</v>
      </c>
      <c r="S371" t="b">
        <v>1</v>
      </c>
      <c r="T371" t="s">
        <v>42</v>
      </c>
      <c r="U371" t="str">
        <f>+LEFT(Table1[[#This Row],[category &amp; sub-category]],FIND("/",Table1[[#This Row],[category &amp; sub-category]])-1)</f>
        <v>film &amp; video</v>
      </c>
      <c r="V371" t="str">
        <f>+RIGHT(Table1[[#This Row],[category &amp; sub-category]],LEN(Table1[[#This Row],[category &amp; sub-category]])-SEARCH("/",Table1[[#This Row],[category &amp; sub-category]]))</f>
        <v>documentary</v>
      </c>
    </row>
    <row r="372" spans="2:22" ht="15.75" customHeight="1" x14ac:dyDescent="0.25">
      <c r="B372">
        <v>369</v>
      </c>
      <c r="C372" t="s">
        <v>790</v>
      </c>
      <c r="D372" s="3" t="s">
        <v>791</v>
      </c>
      <c r="E372" s="6">
        <v>5400</v>
      </c>
      <c r="F372" s="6">
        <v>14743</v>
      </c>
      <c r="G372" s="17">
        <f>ROUND(Table1[[#This Row],[pledged]]/Table1[[#This Row],[goal]]*100,2)</f>
        <v>273.02</v>
      </c>
      <c r="H372" s="5">
        <f>+Table1[[#This Row],[pledged]]/Table1[[#This Row],[goal]]</f>
        <v>2.730185185185185</v>
      </c>
      <c r="I372" t="s">
        <v>20</v>
      </c>
      <c r="J372">
        <v>154</v>
      </c>
      <c r="K372" s="8">
        <f>IFERROR(Table1[[#This Row],[pledged]]/Table1[[#This Row],[backers_count]],"NA")</f>
        <v>95.733766233766232</v>
      </c>
      <c r="L372" t="s">
        <v>21</v>
      </c>
      <c r="M372" t="s">
        <v>22</v>
      </c>
      <c r="N372">
        <v>1359871200</v>
      </c>
      <c r="O372">
        <v>1363237200</v>
      </c>
      <c r="P372" s="11">
        <f>+(((Table1[[#This Row],[launched_at]]/60)/60)/24)+DATE(1970,1,1)</f>
        <v>41308.25</v>
      </c>
      <c r="Q372" s="11">
        <f>+(((Table1[[#This Row],[deadline]]/60)/60)/24)+DATE(1970,1,1)</f>
        <v>41347.208333333336</v>
      </c>
      <c r="R372" t="b">
        <v>0</v>
      </c>
      <c r="S372" t="b">
        <v>1</v>
      </c>
      <c r="T372" t="s">
        <v>269</v>
      </c>
      <c r="U372" t="str">
        <f>+LEFT(Table1[[#This Row],[category &amp; sub-category]],FIND("/",Table1[[#This Row],[category &amp; sub-category]])-1)</f>
        <v>film &amp; video</v>
      </c>
      <c r="V372" t="str">
        <f>+RIGHT(Table1[[#This Row],[category &amp; sub-category]],LEN(Table1[[#This Row],[category &amp; sub-category]])-SEARCH("/",Table1[[#This Row],[category &amp; sub-category]]))</f>
        <v>television</v>
      </c>
    </row>
    <row r="373" spans="2:22" ht="15.75" customHeight="1" x14ac:dyDescent="0.25">
      <c r="B373">
        <v>370</v>
      </c>
      <c r="C373" t="s">
        <v>792</v>
      </c>
      <c r="D373" s="3" t="s">
        <v>793</v>
      </c>
      <c r="E373" s="6">
        <v>112300</v>
      </c>
      <c r="F373" s="6">
        <v>178965</v>
      </c>
      <c r="G373" s="17">
        <f>ROUND(Table1[[#This Row],[pledged]]/Table1[[#This Row],[goal]]*100,2)</f>
        <v>159.36000000000001</v>
      </c>
      <c r="H373" s="5">
        <f>+Table1[[#This Row],[pledged]]/Table1[[#This Row],[goal]]</f>
        <v>1.593633125556545</v>
      </c>
      <c r="I373" t="s">
        <v>20</v>
      </c>
      <c r="J373">
        <v>5966</v>
      </c>
      <c r="K373" s="8">
        <f>IFERROR(Table1[[#This Row],[pledged]]/Table1[[#This Row],[backers_count]],"NA")</f>
        <v>29.997485752598056</v>
      </c>
      <c r="L373" t="s">
        <v>21</v>
      </c>
      <c r="M373" t="s">
        <v>22</v>
      </c>
      <c r="N373">
        <v>1555304400</v>
      </c>
      <c r="O373">
        <v>1555822800</v>
      </c>
      <c r="P373" s="11">
        <f>+(((Table1[[#This Row],[launched_at]]/60)/60)/24)+DATE(1970,1,1)</f>
        <v>43570.208333333328</v>
      </c>
      <c r="Q373" s="11">
        <f>+(((Table1[[#This Row],[deadline]]/60)/60)/24)+DATE(1970,1,1)</f>
        <v>43576.208333333328</v>
      </c>
      <c r="R373" t="b">
        <v>0</v>
      </c>
      <c r="S373" t="b">
        <v>0</v>
      </c>
      <c r="T373" t="s">
        <v>33</v>
      </c>
      <c r="U373" t="str">
        <f>+LEFT(Table1[[#This Row],[category &amp; sub-category]],FIND("/",Table1[[#This Row],[category &amp; sub-category]])-1)</f>
        <v>theater</v>
      </c>
      <c r="V373" t="str">
        <f>+RIGHT(Table1[[#This Row],[category &amp; sub-category]],LEN(Table1[[#This Row],[category &amp; sub-category]])-SEARCH("/",Table1[[#This Row],[category &amp; sub-category]]))</f>
        <v>plays</v>
      </c>
    </row>
    <row r="374" spans="2:22" ht="15.75" customHeight="1" x14ac:dyDescent="0.25">
      <c r="B374">
        <v>371</v>
      </c>
      <c r="C374" t="s">
        <v>794</v>
      </c>
      <c r="D374" s="3" t="s">
        <v>795</v>
      </c>
      <c r="E374" s="6">
        <v>189200</v>
      </c>
      <c r="F374" s="6">
        <v>128410</v>
      </c>
      <c r="G374" s="17">
        <f>ROUND(Table1[[#This Row],[pledged]]/Table1[[#This Row],[goal]]*100,2)</f>
        <v>67.87</v>
      </c>
      <c r="H374" s="5">
        <f>+Table1[[#This Row],[pledged]]/Table1[[#This Row],[goal]]</f>
        <v>0.67869978858350954</v>
      </c>
      <c r="I374" t="s">
        <v>14</v>
      </c>
      <c r="J374">
        <v>2176</v>
      </c>
      <c r="K374" s="8">
        <f>IFERROR(Table1[[#This Row],[pledged]]/Table1[[#This Row],[backers_count]],"NA")</f>
        <v>59.011948529411768</v>
      </c>
      <c r="L374" t="s">
        <v>21</v>
      </c>
      <c r="M374" t="s">
        <v>22</v>
      </c>
      <c r="N374">
        <v>1423375200</v>
      </c>
      <c r="O374">
        <v>1427778000</v>
      </c>
      <c r="P374" s="11">
        <f>+(((Table1[[#This Row],[launched_at]]/60)/60)/24)+DATE(1970,1,1)</f>
        <v>42043.25</v>
      </c>
      <c r="Q374" s="11">
        <f>+(((Table1[[#This Row],[deadline]]/60)/60)/24)+DATE(1970,1,1)</f>
        <v>42094.208333333328</v>
      </c>
      <c r="R374" t="b">
        <v>0</v>
      </c>
      <c r="S374" t="b">
        <v>0</v>
      </c>
      <c r="T374" t="s">
        <v>33</v>
      </c>
      <c r="U374" t="str">
        <f>+LEFT(Table1[[#This Row],[category &amp; sub-category]],FIND("/",Table1[[#This Row],[category &amp; sub-category]])-1)</f>
        <v>theater</v>
      </c>
      <c r="V374" t="str">
        <f>+RIGHT(Table1[[#This Row],[category &amp; sub-category]],LEN(Table1[[#This Row],[category &amp; sub-category]])-SEARCH("/",Table1[[#This Row],[category &amp; sub-category]]))</f>
        <v>plays</v>
      </c>
    </row>
    <row r="375" spans="2:22" ht="15.75" customHeight="1" x14ac:dyDescent="0.25">
      <c r="B375">
        <v>372</v>
      </c>
      <c r="C375" t="s">
        <v>796</v>
      </c>
      <c r="D375" s="3" t="s">
        <v>797</v>
      </c>
      <c r="E375" s="6">
        <v>900</v>
      </c>
      <c r="F375" s="6">
        <v>14324</v>
      </c>
      <c r="G375" s="17">
        <f>ROUND(Table1[[#This Row],[pledged]]/Table1[[#This Row],[goal]]*100,2)</f>
        <v>1591.56</v>
      </c>
      <c r="H375" s="5">
        <f>+Table1[[#This Row],[pledged]]/Table1[[#This Row],[goal]]</f>
        <v>15.915555555555555</v>
      </c>
      <c r="I375" t="s">
        <v>20</v>
      </c>
      <c r="J375">
        <v>169</v>
      </c>
      <c r="K375" s="8">
        <f>IFERROR(Table1[[#This Row],[pledged]]/Table1[[#This Row],[backers_count]],"NA")</f>
        <v>84.757396449704146</v>
      </c>
      <c r="L375" t="s">
        <v>21</v>
      </c>
      <c r="M375" t="s">
        <v>22</v>
      </c>
      <c r="N375">
        <v>1420696800</v>
      </c>
      <c r="O375">
        <v>1422424800</v>
      </c>
      <c r="P375" s="11">
        <f>+(((Table1[[#This Row],[launched_at]]/60)/60)/24)+DATE(1970,1,1)</f>
        <v>42012.25</v>
      </c>
      <c r="Q375" s="11">
        <f>+(((Table1[[#This Row],[deadline]]/60)/60)/24)+DATE(1970,1,1)</f>
        <v>42032.25</v>
      </c>
      <c r="R375" t="b">
        <v>0</v>
      </c>
      <c r="S375" t="b">
        <v>1</v>
      </c>
      <c r="T375" t="s">
        <v>42</v>
      </c>
      <c r="U375" t="str">
        <f>+LEFT(Table1[[#This Row],[category &amp; sub-category]],FIND("/",Table1[[#This Row],[category &amp; sub-category]])-1)</f>
        <v>film &amp; video</v>
      </c>
      <c r="V375" t="str">
        <f>+RIGHT(Table1[[#This Row],[category &amp; sub-category]],LEN(Table1[[#This Row],[category &amp; sub-category]])-SEARCH("/",Table1[[#This Row],[category &amp; sub-category]]))</f>
        <v>documentary</v>
      </c>
    </row>
    <row r="376" spans="2:22" ht="15.75" customHeight="1" x14ac:dyDescent="0.25">
      <c r="B376">
        <v>373</v>
      </c>
      <c r="C376" t="s">
        <v>798</v>
      </c>
      <c r="D376" s="3" t="s">
        <v>799</v>
      </c>
      <c r="E376" s="6">
        <v>22500</v>
      </c>
      <c r="F376" s="6">
        <v>164291</v>
      </c>
      <c r="G376" s="17">
        <f>ROUND(Table1[[#This Row],[pledged]]/Table1[[#This Row],[goal]]*100,2)</f>
        <v>730.18</v>
      </c>
      <c r="H376" s="5">
        <f>+Table1[[#This Row],[pledged]]/Table1[[#This Row],[goal]]</f>
        <v>7.3018222222222224</v>
      </c>
      <c r="I376" t="s">
        <v>20</v>
      </c>
      <c r="J376">
        <v>2106</v>
      </c>
      <c r="K376" s="8">
        <f>IFERROR(Table1[[#This Row],[pledged]]/Table1[[#This Row],[backers_count]],"NA")</f>
        <v>78.010921177587846</v>
      </c>
      <c r="L376" t="s">
        <v>21</v>
      </c>
      <c r="M376" t="s">
        <v>22</v>
      </c>
      <c r="N376">
        <v>1502946000</v>
      </c>
      <c r="O376">
        <v>1503637200</v>
      </c>
      <c r="P376" s="11">
        <f>+(((Table1[[#This Row],[launched_at]]/60)/60)/24)+DATE(1970,1,1)</f>
        <v>42964.208333333328</v>
      </c>
      <c r="Q376" s="11">
        <f>+(((Table1[[#This Row],[deadline]]/60)/60)/24)+DATE(1970,1,1)</f>
        <v>42972.208333333328</v>
      </c>
      <c r="R376" t="b">
        <v>0</v>
      </c>
      <c r="S376" t="b">
        <v>0</v>
      </c>
      <c r="T376" t="s">
        <v>33</v>
      </c>
      <c r="U376" t="str">
        <f>+LEFT(Table1[[#This Row],[category &amp; sub-category]],FIND("/",Table1[[#This Row],[category &amp; sub-category]])-1)</f>
        <v>theater</v>
      </c>
      <c r="V376" t="str">
        <f>+RIGHT(Table1[[#This Row],[category &amp; sub-category]],LEN(Table1[[#This Row],[category &amp; sub-category]])-SEARCH("/",Table1[[#This Row],[category &amp; sub-category]]))</f>
        <v>plays</v>
      </c>
    </row>
    <row r="377" spans="2:22" ht="15.75" customHeight="1" x14ac:dyDescent="0.25">
      <c r="B377">
        <v>374</v>
      </c>
      <c r="C377" t="s">
        <v>800</v>
      </c>
      <c r="D377" s="3" t="s">
        <v>801</v>
      </c>
      <c r="E377" s="6">
        <v>167400</v>
      </c>
      <c r="F377" s="6">
        <v>22073</v>
      </c>
      <c r="G377" s="17">
        <f>ROUND(Table1[[#This Row],[pledged]]/Table1[[#This Row],[goal]]*100,2)</f>
        <v>13.19</v>
      </c>
      <c r="H377" s="5">
        <f>+Table1[[#This Row],[pledged]]/Table1[[#This Row],[goal]]</f>
        <v>0.13185782556750297</v>
      </c>
      <c r="I377" t="s">
        <v>14</v>
      </c>
      <c r="J377">
        <v>441</v>
      </c>
      <c r="K377" s="8">
        <f>IFERROR(Table1[[#This Row],[pledged]]/Table1[[#This Row],[backers_count]],"NA")</f>
        <v>50.05215419501134</v>
      </c>
      <c r="L377" t="s">
        <v>21</v>
      </c>
      <c r="M377" t="s">
        <v>22</v>
      </c>
      <c r="N377">
        <v>1547186400</v>
      </c>
      <c r="O377">
        <v>1547618400</v>
      </c>
      <c r="P377" s="11">
        <f>+(((Table1[[#This Row],[launched_at]]/60)/60)/24)+DATE(1970,1,1)</f>
        <v>43476.25</v>
      </c>
      <c r="Q377" s="11">
        <f>+(((Table1[[#This Row],[deadline]]/60)/60)/24)+DATE(1970,1,1)</f>
        <v>43481.25</v>
      </c>
      <c r="R377" t="b">
        <v>0</v>
      </c>
      <c r="S377" t="b">
        <v>1</v>
      </c>
      <c r="T377" t="s">
        <v>42</v>
      </c>
      <c r="U377" t="str">
        <f>+LEFT(Table1[[#This Row],[category &amp; sub-category]],FIND("/",Table1[[#This Row],[category &amp; sub-category]])-1)</f>
        <v>film &amp; video</v>
      </c>
      <c r="V377" t="str">
        <f>+RIGHT(Table1[[#This Row],[category &amp; sub-category]],LEN(Table1[[#This Row],[category &amp; sub-category]])-SEARCH("/",Table1[[#This Row],[category &amp; sub-category]]))</f>
        <v>documentary</v>
      </c>
    </row>
    <row r="378" spans="2:22" ht="15.75" customHeight="1" x14ac:dyDescent="0.25">
      <c r="B378">
        <v>375</v>
      </c>
      <c r="C378" t="s">
        <v>802</v>
      </c>
      <c r="D378" s="3" t="s">
        <v>803</v>
      </c>
      <c r="E378" s="6">
        <v>2700</v>
      </c>
      <c r="F378" s="6">
        <v>1479</v>
      </c>
      <c r="G378" s="17">
        <f>ROUND(Table1[[#This Row],[pledged]]/Table1[[#This Row],[goal]]*100,2)</f>
        <v>54.78</v>
      </c>
      <c r="H378" s="5">
        <f>+Table1[[#This Row],[pledged]]/Table1[[#This Row],[goal]]</f>
        <v>0.54777777777777781</v>
      </c>
      <c r="I378" t="s">
        <v>14</v>
      </c>
      <c r="J378">
        <v>25</v>
      </c>
      <c r="K378" s="8">
        <f>IFERROR(Table1[[#This Row],[pledged]]/Table1[[#This Row],[backers_count]],"NA")</f>
        <v>59.16</v>
      </c>
      <c r="L378" t="s">
        <v>21</v>
      </c>
      <c r="M378" t="s">
        <v>22</v>
      </c>
      <c r="N378">
        <v>1444971600</v>
      </c>
      <c r="O378">
        <v>1449900000</v>
      </c>
      <c r="P378" s="11">
        <f>+(((Table1[[#This Row],[launched_at]]/60)/60)/24)+DATE(1970,1,1)</f>
        <v>42293.208333333328</v>
      </c>
      <c r="Q378" s="11">
        <f>+(((Table1[[#This Row],[deadline]]/60)/60)/24)+DATE(1970,1,1)</f>
        <v>42350.25</v>
      </c>
      <c r="R378" t="b">
        <v>0</v>
      </c>
      <c r="S378" t="b">
        <v>0</v>
      </c>
      <c r="T378" t="s">
        <v>60</v>
      </c>
      <c r="U378" t="str">
        <f>+LEFT(Table1[[#This Row],[category &amp; sub-category]],FIND("/",Table1[[#This Row],[category &amp; sub-category]])-1)</f>
        <v>music</v>
      </c>
      <c r="V378" t="str">
        <f>+RIGHT(Table1[[#This Row],[category &amp; sub-category]],LEN(Table1[[#This Row],[category &amp; sub-category]])-SEARCH("/",Table1[[#This Row],[category &amp; sub-category]]))</f>
        <v>indie rock</v>
      </c>
    </row>
    <row r="379" spans="2:22" ht="15.75" customHeight="1" x14ac:dyDescent="0.25">
      <c r="B379">
        <v>376</v>
      </c>
      <c r="C379" t="s">
        <v>804</v>
      </c>
      <c r="D379" s="3" t="s">
        <v>805</v>
      </c>
      <c r="E379" s="6">
        <v>3400</v>
      </c>
      <c r="F379" s="6">
        <v>12275</v>
      </c>
      <c r="G379" s="17">
        <f>ROUND(Table1[[#This Row],[pledged]]/Table1[[#This Row],[goal]]*100,2)</f>
        <v>361.03</v>
      </c>
      <c r="H379" s="5">
        <f>+Table1[[#This Row],[pledged]]/Table1[[#This Row],[goal]]</f>
        <v>3.6102941176470589</v>
      </c>
      <c r="I379" t="s">
        <v>20</v>
      </c>
      <c r="J379">
        <v>131</v>
      </c>
      <c r="K379" s="8">
        <f>IFERROR(Table1[[#This Row],[pledged]]/Table1[[#This Row],[backers_count]],"NA")</f>
        <v>93.702290076335885</v>
      </c>
      <c r="L379" t="s">
        <v>21</v>
      </c>
      <c r="M379" t="s">
        <v>22</v>
      </c>
      <c r="N379">
        <v>1404622800</v>
      </c>
      <c r="O379">
        <v>1405141200</v>
      </c>
      <c r="P379" s="11">
        <f>+(((Table1[[#This Row],[launched_at]]/60)/60)/24)+DATE(1970,1,1)</f>
        <v>41826.208333333336</v>
      </c>
      <c r="Q379" s="11">
        <f>+(((Table1[[#This Row],[deadline]]/60)/60)/24)+DATE(1970,1,1)</f>
        <v>41832.208333333336</v>
      </c>
      <c r="R379" t="b">
        <v>0</v>
      </c>
      <c r="S379" t="b">
        <v>0</v>
      </c>
      <c r="T379" t="s">
        <v>23</v>
      </c>
      <c r="U379" t="str">
        <f>+LEFT(Table1[[#This Row],[category &amp; sub-category]],FIND("/",Table1[[#This Row],[category &amp; sub-category]])-1)</f>
        <v>music</v>
      </c>
      <c r="V379" t="str">
        <f>+RIGHT(Table1[[#This Row],[category &amp; sub-category]],LEN(Table1[[#This Row],[category &amp; sub-category]])-SEARCH("/",Table1[[#This Row],[category &amp; sub-category]]))</f>
        <v>rock</v>
      </c>
    </row>
    <row r="380" spans="2:22" ht="15.75" customHeight="1" x14ac:dyDescent="0.25">
      <c r="B380">
        <v>377</v>
      </c>
      <c r="C380" t="s">
        <v>806</v>
      </c>
      <c r="D380" s="3" t="s">
        <v>807</v>
      </c>
      <c r="E380" s="6">
        <v>49700</v>
      </c>
      <c r="F380" s="6">
        <v>5098</v>
      </c>
      <c r="G380" s="17">
        <f>ROUND(Table1[[#This Row],[pledged]]/Table1[[#This Row],[goal]]*100,2)</f>
        <v>10.26</v>
      </c>
      <c r="H380" s="5">
        <f>+Table1[[#This Row],[pledged]]/Table1[[#This Row],[goal]]</f>
        <v>0.10257545271629778</v>
      </c>
      <c r="I380" t="s">
        <v>14</v>
      </c>
      <c r="J380">
        <v>127</v>
      </c>
      <c r="K380" s="8">
        <f>IFERROR(Table1[[#This Row],[pledged]]/Table1[[#This Row],[backers_count]],"NA")</f>
        <v>40.14173228346457</v>
      </c>
      <c r="L380" t="s">
        <v>21</v>
      </c>
      <c r="M380" t="s">
        <v>22</v>
      </c>
      <c r="N380">
        <v>1571720400</v>
      </c>
      <c r="O380">
        <v>1572933600</v>
      </c>
      <c r="P380" s="11">
        <f>+(((Table1[[#This Row],[launched_at]]/60)/60)/24)+DATE(1970,1,1)</f>
        <v>43760.208333333328</v>
      </c>
      <c r="Q380" s="11">
        <f>+(((Table1[[#This Row],[deadline]]/60)/60)/24)+DATE(1970,1,1)</f>
        <v>43774.25</v>
      </c>
      <c r="R380" t="b">
        <v>0</v>
      </c>
      <c r="S380" t="b">
        <v>0</v>
      </c>
      <c r="T380" t="s">
        <v>33</v>
      </c>
      <c r="U380" t="str">
        <f>+LEFT(Table1[[#This Row],[category &amp; sub-category]],FIND("/",Table1[[#This Row],[category &amp; sub-category]])-1)</f>
        <v>theater</v>
      </c>
      <c r="V380" t="str">
        <f>+RIGHT(Table1[[#This Row],[category &amp; sub-category]],LEN(Table1[[#This Row],[category &amp; sub-category]])-SEARCH("/",Table1[[#This Row],[category &amp; sub-category]]))</f>
        <v>plays</v>
      </c>
    </row>
    <row r="381" spans="2:22" ht="15.75" customHeight="1" x14ac:dyDescent="0.25">
      <c r="B381">
        <v>378</v>
      </c>
      <c r="C381" t="s">
        <v>808</v>
      </c>
      <c r="D381" s="3" t="s">
        <v>809</v>
      </c>
      <c r="E381" s="6">
        <v>178200</v>
      </c>
      <c r="F381" s="6">
        <v>24882</v>
      </c>
      <c r="G381" s="17">
        <f>ROUND(Table1[[#This Row],[pledged]]/Table1[[#This Row],[goal]]*100,2)</f>
        <v>13.96</v>
      </c>
      <c r="H381" s="5">
        <f>+Table1[[#This Row],[pledged]]/Table1[[#This Row],[goal]]</f>
        <v>0.13962962962962963</v>
      </c>
      <c r="I381" t="s">
        <v>14</v>
      </c>
      <c r="J381">
        <v>355</v>
      </c>
      <c r="K381" s="8">
        <f>IFERROR(Table1[[#This Row],[pledged]]/Table1[[#This Row],[backers_count]],"NA")</f>
        <v>70.090140845070422</v>
      </c>
      <c r="L381" t="s">
        <v>21</v>
      </c>
      <c r="M381" t="s">
        <v>22</v>
      </c>
      <c r="N381">
        <v>1526878800</v>
      </c>
      <c r="O381">
        <v>1530162000</v>
      </c>
      <c r="P381" s="11">
        <f>+(((Table1[[#This Row],[launched_at]]/60)/60)/24)+DATE(1970,1,1)</f>
        <v>43241.208333333328</v>
      </c>
      <c r="Q381" s="11">
        <f>+(((Table1[[#This Row],[deadline]]/60)/60)/24)+DATE(1970,1,1)</f>
        <v>43279.208333333328</v>
      </c>
      <c r="R381" t="b">
        <v>0</v>
      </c>
      <c r="S381" t="b">
        <v>0</v>
      </c>
      <c r="T381" t="s">
        <v>42</v>
      </c>
      <c r="U381" t="str">
        <f>+LEFT(Table1[[#This Row],[category &amp; sub-category]],FIND("/",Table1[[#This Row],[category &amp; sub-category]])-1)</f>
        <v>film &amp; video</v>
      </c>
      <c r="V381" t="str">
        <f>+RIGHT(Table1[[#This Row],[category &amp; sub-category]],LEN(Table1[[#This Row],[category &amp; sub-category]])-SEARCH("/",Table1[[#This Row],[category &amp; sub-category]]))</f>
        <v>documentary</v>
      </c>
    </row>
    <row r="382" spans="2:22" ht="15.75" customHeight="1" x14ac:dyDescent="0.25">
      <c r="B382">
        <v>379</v>
      </c>
      <c r="C382" t="s">
        <v>810</v>
      </c>
      <c r="D382" s="3" t="s">
        <v>811</v>
      </c>
      <c r="E382" s="6">
        <v>7200</v>
      </c>
      <c r="F382" s="6">
        <v>2912</v>
      </c>
      <c r="G382" s="17">
        <f>ROUND(Table1[[#This Row],[pledged]]/Table1[[#This Row],[goal]]*100,2)</f>
        <v>40.44</v>
      </c>
      <c r="H382" s="5">
        <f>+Table1[[#This Row],[pledged]]/Table1[[#This Row],[goal]]</f>
        <v>0.40444444444444444</v>
      </c>
      <c r="I382" t="s">
        <v>14</v>
      </c>
      <c r="J382">
        <v>44</v>
      </c>
      <c r="K382" s="8">
        <f>IFERROR(Table1[[#This Row],[pledged]]/Table1[[#This Row],[backers_count]],"NA")</f>
        <v>66.181818181818187</v>
      </c>
      <c r="L382" t="s">
        <v>40</v>
      </c>
      <c r="M382" t="s">
        <v>41</v>
      </c>
      <c r="N382">
        <v>1319691600</v>
      </c>
      <c r="O382">
        <v>1320904800</v>
      </c>
      <c r="P382" s="11">
        <f>+(((Table1[[#This Row],[launched_at]]/60)/60)/24)+DATE(1970,1,1)</f>
        <v>40843.208333333336</v>
      </c>
      <c r="Q382" s="11">
        <f>+(((Table1[[#This Row],[deadline]]/60)/60)/24)+DATE(1970,1,1)</f>
        <v>40857.25</v>
      </c>
      <c r="R382" t="b">
        <v>0</v>
      </c>
      <c r="S382" t="b">
        <v>0</v>
      </c>
      <c r="T382" t="s">
        <v>33</v>
      </c>
      <c r="U382" t="str">
        <f>+LEFT(Table1[[#This Row],[category &amp; sub-category]],FIND("/",Table1[[#This Row],[category &amp; sub-category]])-1)</f>
        <v>theater</v>
      </c>
      <c r="V382" t="str">
        <f>+RIGHT(Table1[[#This Row],[category &amp; sub-category]],LEN(Table1[[#This Row],[category &amp; sub-category]])-SEARCH("/",Table1[[#This Row],[category &amp; sub-category]]))</f>
        <v>plays</v>
      </c>
    </row>
    <row r="383" spans="2:22" ht="15.75" customHeight="1" x14ac:dyDescent="0.25">
      <c r="B383">
        <v>380</v>
      </c>
      <c r="C383" t="s">
        <v>812</v>
      </c>
      <c r="D383" s="3" t="s">
        <v>813</v>
      </c>
      <c r="E383" s="6">
        <v>2500</v>
      </c>
      <c r="F383" s="6">
        <v>4008</v>
      </c>
      <c r="G383" s="17">
        <f>ROUND(Table1[[#This Row],[pledged]]/Table1[[#This Row],[goal]]*100,2)</f>
        <v>160.32</v>
      </c>
      <c r="H383" s="5">
        <f>+Table1[[#This Row],[pledged]]/Table1[[#This Row],[goal]]</f>
        <v>1.6032</v>
      </c>
      <c r="I383" t="s">
        <v>20</v>
      </c>
      <c r="J383">
        <v>84</v>
      </c>
      <c r="K383" s="8">
        <f>IFERROR(Table1[[#This Row],[pledged]]/Table1[[#This Row],[backers_count]],"NA")</f>
        <v>47.714285714285715</v>
      </c>
      <c r="L383" t="s">
        <v>21</v>
      </c>
      <c r="M383" t="s">
        <v>22</v>
      </c>
      <c r="N383">
        <v>1371963600</v>
      </c>
      <c r="O383">
        <v>1372395600</v>
      </c>
      <c r="P383" s="11">
        <f>+(((Table1[[#This Row],[launched_at]]/60)/60)/24)+DATE(1970,1,1)</f>
        <v>41448.208333333336</v>
      </c>
      <c r="Q383" s="11">
        <f>+(((Table1[[#This Row],[deadline]]/60)/60)/24)+DATE(1970,1,1)</f>
        <v>41453.208333333336</v>
      </c>
      <c r="R383" t="b">
        <v>0</v>
      </c>
      <c r="S383" t="b">
        <v>0</v>
      </c>
      <c r="T383" t="s">
        <v>33</v>
      </c>
      <c r="U383" t="str">
        <f>+LEFT(Table1[[#This Row],[category &amp; sub-category]],FIND("/",Table1[[#This Row],[category &amp; sub-category]])-1)</f>
        <v>theater</v>
      </c>
      <c r="V383" t="str">
        <f>+RIGHT(Table1[[#This Row],[category &amp; sub-category]],LEN(Table1[[#This Row],[category &amp; sub-category]])-SEARCH("/",Table1[[#This Row],[category &amp; sub-category]]))</f>
        <v>plays</v>
      </c>
    </row>
    <row r="384" spans="2:22" ht="15.75" customHeight="1" x14ac:dyDescent="0.25">
      <c r="B384">
        <v>381</v>
      </c>
      <c r="C384" t="s">
        <v>814</v>
      </c>
      <c r="D384" s="3" t="s">
        <v>815</v>
      </c>
      <c r="E384" s="6">
        <v>5300</v>
      </c>
      <c r="F384" s="6">
        <v>9749</v>
      </c>
      <c r="G384" s="17">
        <f>ROUND(Table1[[#This Row],[pledged]]/Table1[[#This Row],[goal]]*100,2)</f>
        <v>183.94</v>
      </c>
      <c r="H384" s="5">
        <f>+Table1[[#This Row],[pledged]]/Table1[[#This Row],[goal]]</f>
        <v>1.8394339622641509</v>
      </c>
      <c r="I384" t="s">
        <v>20</v>
      </c>
      <c r="J384">
        <v>155</v>
      </c>
      <c r="K384" s="8">
        <f>IFERROR(Table1[[#This Row],[pledged]]/Table1[[#This Row],[backers_count]],"NA")</f>
        <v>62.896774193548389</v>
      </c>
      <c r="L384" t="s">
        <v>21</v>
      </c>
      <c r="M384" t="s">
        <v>22</v>
      </c>
      <c r="N384">
        <v>1433739600</v>
      </c>
      <c r="O384">
        <v>1437714000</v>
      </c>
      <c r="P384" s="11">
        <f>+(((Table1[[#This Row],[launched_at]]/60)/60)/24)+DATE(1970,1,1)</f>
        <v>42163.208333333328</v>
      </c>
      <c r="Q384" s="11">
        <f>+(((Table1[[#This Row],[deadline]]/60)/60)/24)+DATE(1970,1,1)</f>
        <v>42209.208333333328</v>
      </c>
      <c r="R384" t="b">
        <v>0</v>
      </c>
      <c r="S384" t="b">
        <v>0</v>
      </c>
      <c r="T384" t="s">
        <v>33</v>
      </c>
      <c r="U384" t="str">
        <f>+LEFT(Table1[[#This Row],[category &amp; sub-category]],FIND("/",Table1[[#This Row],[category &amp; sub-category]])-1)</f>
        <v>theater</v>
      </c>
      <c r="V384" t="str">
        <f>+RIGHT(Table1[[#This Row],[category &amp; sub-category]],LEN(Table1[[#This Row],[category &amp; sub-category]])-SEARCH("/",Table1[[#This Row],[category &amp; sub-category]]))</f>
        <v>plays</v>
      </c>
    </row>
    <row r="385" spans="2:22" ht="15.75" customHeight="1" x14ac:dyDescent="0.25">
      <c r="B385">
        <v>382</v>
      </c>
      <c r="C385" t="s">
        <v>816</v>
      </c>
      <c r="D385" s="3" t="s">
        <v>817</v>
      </c>
      <c r="E385" s="6">
        <v>9100</v>
      </c>
      <c r="F385" s="6">
        <v>5803</v>
      </c>
      <c r="G385" s="17">
        <f>ROUND(Table1[[#This Row],[pledged]]/Table1[[#This Row],[goal]]*100,2)</f>
        <v>63.77</v>
      </c>
      <c r="H385" s="5">
        <f>+Table1[[#This Row],[pledged]]/Table1[[#This Row],[goal]]</f>
        <v>0.63769230769230767</v>
      </c>
      <c r="I385" t="s">
        <v>14</v>
      </c>
      <c r="J385">
        <v>67</v>
      </c>
      <c r="K385" s="8">
        <f>IFERROR(Table1[[#This Row],[pledged]]/Table1[[#This Row],[backers_count]],"NA")</f>
        <v>86.611940298507463</v>
      </c>
      <c r="L385" t="s">
        <v>21</v>
      </c>
      <c r="M385" t="s">
        <v>22</v>
      </c>
      <c r="N385">
        <v>1508130000</v>
      </c>
      <c r="O385">
        <v>1509771600</v>
      </c>
      <c r="P385" s="11">
        <f>+(((Table1[[#This Row],[launched_at]]/60)/60)/24)+DATE(1970,1,1)</f>
        <v>43024.208333333328</v>
      </c>
      <c r="Q385" s="11">
        <f>+(((Table1[[#This Row],[deadline]]/60)/60)/24)+DATE(1970,1,1)</f>
        <v>43043.208333333328</v>
      </c>
      <c r="R385" t="b">
        <v>0</v>
      </c>
      <c r="S385" t="b">
        <v>0</v>
      </c>
      <c r="T385" t="s">
        <v>122</v>
      </c>
      <c r="U385" t="str">
        <f>+LEFT(Table1[[#This Row],[category &amp; sub-category]],FIND("/",Table1[[#This Row],[category &amp; sub-category]])-1)</f>
        <v>photography</v>
      </c>
      <c r="V385" t="str">
        <f>+RIGHT(Table1[[#This Row],[category &amp; sub-category]],LEN(Table1[[#This Row],[category &amp; sub-category]])-SEARCH("/",Table1[[#This Row],[category &amp; sub-category]]))</f>
        <v>photography books</v>
      </c>
    </row>
    <row r="386" spans="2:22" ht="15.75" customHeight="1" x14ac:dyDescent="0.25">
      <c r="B386">
        <v>383</v>
      </c>
      <c r="C386" t="s">
        <v>818</v>
      </c>
      <c r="D386" s="3" t="s">
        <v>819</v>
      </c>
      <c r="E386" s="6">
        <v>6300</v>
      </c>
      <c r="F386" s="6">
        <v>14199</v>
      </c>
      <c r="G386" s="17">
        <f>ROUND(Table1[[#This Row],[pledged]]/Table1[[#This Row],[goal]]*100,2)</f>
        <v>225.38</v>
      </c>
      <c r="H386" s="5">
        <f>+Table1[[#This Row],[pledged]]/Table1[[#This Row],[goal]]</f>
        <v>2.2538095238095237</v>
      </c>
      <c r="I386" t="s">
        <v>20</v>
      </c>
      <c r="J386">
        <v>189</v>
      </c>
      <c r="K386" s="8">
        <f>IFERROR(Table1[[#This Row],[pledged]]/Table1[[#This Row],[backers_count]],"NA")</f>
        <v>75.126984126984127</v>
      </c>
      <c r="L386" t="s">
        <v>21</v>
      </c>
      <c r="M386" t="s">
        <v>22</v>
      </c>
      <c r="N386">
        <v>1550037600</v>
      </c>
      <c r="O386">
        <v>1550556000</v>
      </c>
      <c r="P386" s="11">
        <f>+(((Table1[[#This Row],[launched_at]]/60)/60)/24)+DATE(1970,1,1)</f>
        <v>43509.25</v>
      </c>
      <c r="Q386" s="11">
        <f>+(((Table1[[#This Row],[deadline]]/60)/60)/24)+DATE(1970,1,1)</f>
        <v>43515.25</v>
      </c>
      <c r="R386" t="b">
        <v>0</v>
      </c>
      <c r="S386" t="b">
        <v>1</v>
      </c>
      <c r="T386" t="s">
        <v>17</v>
      </c>
      <c r="U386" t="str">
        <f>+LEFT(Table1[[#This Row],[category &amp; sub-category]],FIND("/",Table1[[#This Row],[category &amp; sub-category]])-1)</f>
        <v>food</v>
      </c>
      <c r="V386" t="str">
        <f>+RIGHT(Table1[[#This Row],[category &amp; sub-category]],LEN(Table1[[#This Row],[category &amp; sub-category]])-SEARCH("/",Table1[[#This Row],[category &amp; sub-category]]))</f>
        <v>food trucks</v>
      </c>
    </row>
    <row r="387" spans="2:22" ht="15.75" customHeight="1" x14ac:dyDescent="0.25">
      <c r="B387">
        <v>384</v>
      </c>
      <c r="C387" t="s">
        <v>820</v>
      </c>
      <c r="D387" s="3" t="s">
        <v>821</v>
      </c>
      <c r="E387" s="6">
        <v>114400</v>
      </c>
      <c r="F387" s="6">
        <v>196779</v>
      </c>
      <c r="G387" s="17">
        <f>ROUND(Table1[[#This Row],[pledged]]/Table1[[#This Row],[goal]]*100,2)</f>
        <v>172.01</v>
      </c>
      <c r="H387" s="5">
        <f>+Table1[[#This Row],[pledged]]/Table1[[#This Row],[goal]]</f>
        <v>1.7200961538461539</v>
      </c>
      <c r="I387" t="s">
        <v>20</v>
      </c>
      <c r="J387">
        <v>4799</v>
      </c>
      <c r="K387" s="8">
        <f>IFERROR(Table1[[#This Row],[pledged]]/Table1[[#This Row],[backers_count]],"NA")</f>
        <v>41.004167534903104</v>
      </c>
      <c r="L387" t="s">
        <v>21</v>
      </c>
      <c r="M387" t="s">
        <v>22</v>
      </c>
      <c r="N387">
        <v>1486706400</v>
      </c>
      <c r="O387">
        <v>1489039200</v>
      </c>
      <c r="P387" s="11">
        <f>+(((Table1[[#This Row],[launched_at]]/60)/60)/24)+DATE(1970,1,1)</f>
        <v>42776.25</v>
      </c>
      <c r="Q387" s="11">
        <f>+(((Table1[[#This Row],[deadline]]/60)/60)/24)+DATE(1970,1,1)</f>
        <v>42803.25</v>
      </c>
      <c r="R387" t="b">
        <v>1</v>
      </c>
      <c r="S387" t="b">
        <v>1</v>
      </c>
      <c r="T387" t="s">
        <v>42</v>
      </c>
      <c r="U387" t="str">
        <f>+LEFT(Table1[[#This Row],[category &amp; sub-category]],FIND("/",Table1[[#This Row],[category &amp; sub-category]])-1)</f>
        <v>film &amp; video</v>
      </c>
      <c r="V387" t="str">
        <f>+RIGHT(Table1[[#This Row],[category &amp; sub-category]],LEN(Table1[[#This Row],[category &amp; sub-category]])-SEARCH("/",Table1[[#This Row],[category &amp; sub-category]]))</f>
        <v>documentary</v>
      </c>
    </row>
    <row r="388" spans="2:22" ht="15.75" customHeight="1" x14ac:dyDescent="0.25">
      <c r="B388">
        <v>385</v>
      </c>
      <c r="C388" t="s">
        <v>822</v>
      </c>
      <c r="D388" s="3" t="s">
        <v>823</v>
      </c>
      <c r="E388" s="6">
        <v>38900</v>
      </c>
      <c r="F388" s="6">
        <v>56859</v>
      </c>
      <c r="G388" s="17">
        <f>ROUND(Table1[[#This Row],[pledged]]/Table1[[#This Row],[goal]]*100,2)</f>
        <v>146.16999999999999</v>
      </c>
      <c r="H388" s="5">
        <f>+Table1[[#This Row],[pledged]]/Table1[[#This Row],[goal]]</f>
        <v>1.4616709511568124</v>
      </c>
      <c r="I388" t="s">
        <v>20</v>
      </c>
      <c r="J388">
        <v>1137</v>
      </c>
      <c r="K388" s="8">
        <f>IFERROR(Table1[[#This Row],[pledged]]/Table1[[#This Row],[backers_count]],"NA")</f>
        <v>50.007915567282325</v>
      </c>
      <c r="L388" t="s">
        <v>21</v>
      </c>
      <c r="M388" t="s">
        <v>22</v>
      </c>
      <c r="N388">
        <v>1553835600</v>
      </c>
      <c r="O388">
        <v>1556600400</v>
      </c>
      <c r="P388" s="11">
        <f>+(((Table1[[#This Row],[launched_at]]/60)/60)/24)+DATE(1970,1,1)</f>
        <v>43553.208333333328</v>
      </c>
      <c r="Q388" s="11">
        <f>+(((Table1[[#This Row],[deadline]]/60)/60)/24)+DATE(1970,1,1)</f>
        <v>43585.208333333328</v>
      </c>
      <c r="R388" t="b">
        <v>0</v>
      </c>
      <c r="S388" t="b">
        <v>0</v>
      </c>
      <c r="T388" t="s">
        <v>68</v>
      </c>
      <c r="U388" t="str">
        <f>+LEFT(Table1[[#This Row],[category &amp; sub-category]],FIND("/",Table1[[#This Row],[category &amp; sub-category]])-1)</f>
        <v>publishing</v>
      </c>
      <c r="V388" t="str">
        <f>+RIGHT(Table1[[#This Row],[category &amp; sub-category]],LEN(Table1[[#This Row],[category &amp; sub-category]])-SEARCH("/",Table1[[#This Row],[category &amp; sub-category]]))</f>
        <v>nonfiction</v>
      </c>
    </row>
    <row r="389" spans="2:22" ht="15.75" customHeight="1" x14ac:dyDescent="0.25">
      <c r="B389">
        <v>386</v>
      </c>
      <c r="C389" t="s">
        <v>824</v>
      </c>
      <c r="D389" s="3" t="s">
        <v>825</v>
      </c>
      <c r="E389" s="6">
        <v>135500</v>
      </c>
      <c r="F389" s="6">
        <v>103554</v>
      </c>
      <c r="G389" s="17">
        <f>ROUND(Table1[[#This Row],[pledged]]/Table1[[#This Row],[goal]]*100,2)</f>
        <v>76.42</v>
      </c>
      <c r="H389" s="5">
        <f>+Table1[[#This Row],[pledged]]/Table1[[#This Row],[goal]]</f>
        <v>0.76423616236162362</v>
      </c>
      <c r="I389" t="s">
        <v>14</v>
      </c>
      <c r="J389">
        <v>1068</v>
      </c>
      <c r="K389" s="8">
        <f>IFERROR(Table1[[#This Row],[pledged]]/Table1[[#This Row],[backers_count]],"NA")</f>
        <v>96.960674157303373</v>
      </c>
      <c r="L389" t="s">
        <v>21</v>
      </c>
      <c r="M389" t="s">
        <v>22</v>
      </c>
      <c r="N389">
        <v>1277528400</v>
      </c>
      <c r="O389">
        <v>1278565200</v>
      </c>
      <c r="P389" s="11">
        <f>+(((Table1[[#This Row],[launched_at]]/60)/60)/24)+DATE(1970,1,1)</f>
        <v>40355.208333333336</v>
      </c>
      <c r="Q389" s="11">
        <f>+(((Table1[[#This Row],[deadline]]/60)/60)/24)+DATE(1970,1,1)</f>
        <v>40367.208333333336</v>
      </c>
      <c r="R389" t="b">
        <v>0</v>
      </c>
      <c r="S389" t="b">
        <v>0</v>
      </c>
      <c r="T389" t="s">
        <v>33</v>
      </c>
      <c r="U389" t="str">
        <f>+LEFT(Table1[[#This Row],[category &amp; sub-category]],FIND("/",Table1[[#This Row],[category &amp; sub-category]])-1)</f>
        <v>theater</v>
      </c>
      <c r="V389" t="str">
        <f>+RIGHT(Table1[[#This Row],[category &amp; sub-category]],LEN(Table1[[#This Row],[category &amp; sub-category]])-SEARCH("/",Table1[[#This Row],[category &amp; sub-category]]))</f>
        <v>plays</v>
      </c>
    </row>
    <row r="390" spans="2:22" ht="15.75" customHeight="1" x14ac:dyDescent="0.25">
      <c r="B390">
        <v>387</v>
      </c>
      <c r="C390" t="s">
        <v>826</v>
      </c>
      <c r="D390" s="3" t="s">
        <v>827</v>
      </c>
      <c r="E390" s="6">
        <v>109000</v>
      </c>
      <c r="F390" s="6">
        <v>42795</v>
      </c>
      <c r="G390" s="17">
        <f>ROUND(Table1[[#This Row],[pledged]]/Table1[[#This Row],[goal]]*100,2)</f>
        <v>39.26</v>
      </c>
      <c r="H390" s="5">
        <f>+Table1[[#This Row],[pledged]]/Table1[[#This Row],[goal]]</f>
        <v>0.39261467889908258</v>
      </c>
      <c r="I390" t="s">
        <v>14</v>
      </c>
      <c r="J390">
        <v>424</v>
      </c>
      <c r="K390" s="8">
        <f>IFERROR(Table1[[#This Row],[pledged]]/Table1[[#This Row],[backers_count]],"NA")</f>
        <v>100.93160377358491</v>
      </c>
      <c r="L390" t="s">
        <v>21</v>
      </c>
      <c r="M390" t="s">
        <v>22</v>
      </c>
      <c r="N390">
        <v>1339477200</v>
      </c>
      <c r="O390">
        <v>1339909200</v>
      </c>
      <c r="P390" s="11">
        <f>+(((Table1[[#This Row],[launched_at]]/60)/60)/24)+DATE(1970,1,1)</f>
        <v>41072.208333333336</v>
      </c>
      <c r="Q390" s="11">
        <f>+(((Table1[[#This Row],[deadline]]/60)/60)/24)+DATE(1970,1,1)</f>
        <v>41077.208333333336</v>
      </c>
      <c r="R390" t="b">
        <v>0</v>
      </c>
      <c r="S390" t="b">
        <v>0</v>
      </c>
      <c r="T390" t="s">
        <v>65</v>
      </c>
      <c r="U390" t="str">
        <f>+LEFT(Table1[[#This Row],[category &amp; sub-category]],FIND("/",Table1[[#This Row],[category &amp; sub-category]])-1)</f>
        <v>technology</v>
      </c>
      <c r="V390" t="str">
        <f>+RIGHT(Table1[[#This Row],[category &amp; sub-category]],LEN(Table1[[#This Row],[category &amp; sub-category]])-SEARCH("/",Table1[[#This Row],[category &amp; sub-category]]))</f>
        <v>wearables</v>
      </c>
    </row>
    <row r="391" spans="2:22" ht="15.75" customHeight="1" x14ac:dyDescent="0.25">
      <c r="B391">
        <v>388</v>
      </c>
      <c r="C391" t="s">
        <v>828</v>
      </c>
      <c r="D391" s="3" t="s">
        <v>829</v>
      </c>
      <c r="E391" s="6">
        <v>114800</v>
      </c>
      <c r="F391" s="6">
        <v>12938</v>
      </c>
      <c r="G391" s="17">
        <f>ROUND(Table1[[#This Row],[pledged]]/Table1[[#This Row],[goal]]*100,2)</f>
        <v>11.27</v>
      </c>
      <c r="H391" s="5">
        <f>+Table1[[#This Row],[pledged]]/Table1[[#This Row],[goal]]</f>
        <v>0.11270034843205574</v>
      </c>
      <c r="I391" t="s">
        <v>74</v>
      </c>
      <c r="J391">
        <v>145</v>
      </c>
      <c r="K391" s="8">
        <f>IFERROR(Table1[[#This Row],[pledged]]/Table1[[#This Row],[backers_count]],"NA")</f>
        <v>89.227586206896547</v>
      </c>
      <c r="L391" t="s">
        <v>98</v>
      </c>
      <c r="M391" t="s">
        <v>99</v>
      </c>
      <c r="N391">
        <v>1325656800</v>
      </c>
      <c r="O391">
        <v>1325829600</v>
      </c>
      <c r="P391" s="11">
        <f>+(((Table1[[#This Row],[launched_at]]/60)/60)/24)+DATE(1970,1,1)</f>
        <v>40912.25</v>
      </c>
      <c r="Q391" s="11">
        <f>+(((Table1[[#This Row],[deadline]]/60)/60)/24)+DATE(1970,1,1)</f>
        <v>40914.25</v>
      </c>
      <c r="R391" t="b">
        <v>0</v>
      </c>
      <c r="S391" t="b">
        <v>0</v>
      </c>
      <c r="T391" t="s">
        <v>60</v>
      </c>
      <c r="U391" t="str">
        <f>+LEFT(Table1[[#This Row],[category &amp; sub-category]],FIND("/",Table1[[#This Row],[category &amp; sub-category]])-1)</f>
        <v>music</v>
      </c>
      <c r="V391" t="str">
        <f>+RIGHT(Table1[[#This Row],[category &amp; sub-category]],LEN(Table1[[#This Row],[category &amp; sub-category]])-SEARCH("/",Table1[[#This Row],[category &amp; sub-category]]))</f>
        <v>indie rock</v>
      </c>
    </row>
    <row r="392" spans="2:22" ht="15.75" customHeight="1" x14ac:dyDescent="0.25">
      <c r="B392">
        <v>389</v>
      </c>
      <c r="C392" t="s">
        <v>830</v>
      </c>
      <c r="D392" s="3" t="s">
        <v>831</v>
      </c>
      <c r="E392" s="6">
        <v>83000</v>
      </c>
      <c r="F392" s="6">
        <v>101352</v>
      </c>
      <c r="G392" s="17">
        <f>ROUND(Table1[[#This Row],[pledged]]/Table1[[#This Row],[goal]]*100,2)</f>
        <v>122.11</v>
      </c>
      <c r="H392" s="5">
        <f>+Table1[[#This Row],[pledged]]/Table1[[#This Row],[goal]]</f>
        <v>1.2211084337349398</v>
      </c>
      <c r="I392" t="s">
        <v>20</v>
      </c>
      <c r="J392">
        <v>1152</v>
      </c>
      <c r="K392" s="8">
        <f>IFERROR(Table1[[#This Row],[pledged]]/Table1[[#This Row],[backers_count]],"NA")</f>
        <v>87.979166666666671</v>
      </c>
      <c r="L392" t="s">
        <v>21</v>
      </c>
      <c r="M392" t="s">
        <v>22</v>
      </c>
      <c r="N392">
        <v>1288242000</v>
      </c>
      <c r="O392">
        <v>1290578400</v>
      </c>
      <c r="P392" s="11">
        <f>+(((Table1[[#This Row],[launched_at]]/60)/60)/24)+DATE(1970,1,1)</f>
        <v>40479.208333333336</v>
      </c>
      <c r="Q392" s="11">
        <f>+(((Table1[[#This Row],[deadline]]/60)/60)/24)+DATE(1970,1,1)</f>
        <v>40506.25</v>
      </c>
      <c r="R392" t="b">
        <v>0</v>
      </c>
      <c r="S392" t="b">
        <v>0</v>
      </c>
      <c r="T392" t="s">
        <v>33</v>
      </c>
      <c r="U392" t="str">
        <f>+LEFT(Table1[[#This Row],[category &amp; sub-category]],FIND("/",Table1[[#This Row],[category &amp; sub-category]])-1)</f>
        <v>theater</v>
      </c>
      <c r="V392" t="str">
        <f>+RIGHT(Table1[[#This Row],[category &amp; sub-category]],LEN(Table1[[#This Row],[category &amp; sub-category]])-SEARCH("/",Table1[[#This Row],[category &amp; sub-category]]))</f>
        <v>plays</v>
      </c>
    </row>
    <row r="393" spans="2:22" ht="15.75" customHeight="1" x14ac:dyDescent="0.25">
      <c r="B393">
        <v>390</v>
      </c>
      <c r="C393" t="s">
        <v>832</v>
      </c>
      <c r="D393" s="3" t="s">
        <v>833</v>
      </c>
      <c r="E393" s="6">
        <v>2400</v>
      </c>
      <c r="F393" s="6">
        <v>4477</v>
      </c>
      <c r="G393" s="17">
        <f>ROUND(Table1[[#This Row],[pledged]]/Table1[[#This Row],[goal]]*100,2)</f>
        <v>186.54</v>
      </c>
      <c r="H393" s="5">
        <f>+Table1[[#This Row],[pledged]]/Table1[[#This Row],[goal]]</f>
        <v>1.8654166666666667</v>
      </c>
      <c r="I393" t="s">
        <v>20</v>
      </c>
      <c r="J393">
        <v>50</v>
      </c>
      <c r="K393" s="8">
        <f>IFERROR(Table1[[#This Row],[pledged]]/Table1[[#This Row],[backers_count]],"NA")</f>
        <v>89.54</v>
      </c>
      <c r="L393" t="s">
        <v>21</v>
      </c>
      <c r="M393" t="s">
        <v>22</v>
      </c>
      <c r="N393">
        <v>1379048400</v>
      </c>
      <c r="O393">
        <v>1380344400</v>
      </c>
      <c r="P393" s="11">
        <f>+(((Table1[[#This Row],[launched_at]]/60)/60)/24)+DATE(1970,1,1)</f>
        <v>41530.208333333336</v>
      </c>
      <c r="Q393" s="11">
        <f>+(((Table1[[#This Row],[deadline]]/60)/60)/24)+DATE(1970,1,1)</f>
        <v>41545.208333333336</v>
      </c>
      <c r="R393" t="b">
        <v>0</v>
      </c>
      <c r="S393" t="b">
        <v>0</v>
      </c>
      <c r="T393" t="s">
        <v>122</v>
      </c>
      <c r="U393" t="str">
        <f>+LEFT(Table1[[#This Row],[category &amp; sub-category]],FIND("/",Table1[[#This Row],[category &amp; sub-category]])-1)</f>
        <v>photography</v>
      </c>
      <c r="V393" t="str">
        <f>+RIGHT(Table1[[#This Row],[category &amp; sub-category]],LEN(Table1[[#This Row],[category &amp; sub-category]])-SEARCH("/",Table1[[#This Row],[category &amp; sub-category]]))</f>
        <v>photography books</v>
      </c>
    </row>
    <row r="394" spans="2:22" ht="15.75" customHeight="1" x14ac:dyDescent="0.25">
      <c r="B394">
        <v>391</v>
      </c>
      <c r="C394" t="s">
        <v>834</v>
      </c>
      <c r="D394" s="3" t="s">
        <v>835</v>
      </c>
      <c r="E394" s="6">
        <v>60400</v>
      </c>
      <c r="F394" s="6">
        <v>4393</v>
      </c>
      <c r="G394" s="17">
        <f>ROUND(Table1[[#This Row],[pledged]]/Table1[[#This Row],[goal]]*100,2)</f>
        <v>7.27</v>
      </c>
      <c r="H394" s="5">
        <f>+Table1[[#This Row],[pledged]]/Table1[[#This Row],[goal]]</f>
        <v>7.27317880794702E-2</v>
      </c>
      <c r="I394" t="s">
        <v>14</v>
      </c>
      <c r="J394">
        <v>151</v>
      </c>
      <c r="K394" s="8">
        <f>IFERROR(Table1[[#This Row],[pledged]]/Table1[[#This Row],[backers_count]],"NA")</f>
        <v>29.09271523178808</v>
      </c>
      <c r="L394" t="s">
        <v>21</v>
      </c>
      <c r="M394" t="s">
        <v>22</v>
      </c>
      <c r="N394">
        <v>1389679200</v>
      </c>
      <c r="O394">
        <v>1389852000</v>
      </c>
      <c r="P394" s="11">
        <f>+(((Table1[[#This Row],[launched_at]]/60)/60)/24)+DATE(1970,1,1)</f>
        <v>41653.25</v>
      </c>
      <c r="Q394" s="11">
        <f>+(((Table1[[#This Row],[deadline]]/60)/60)/24)+DATE(1970,1,1)</f>
        <v>41655.25</v>
      </c>
      <c r="R394" t="b">
        <v>0</v>
      </c>
      <c r="S394" t="b">
        <v>0</v>
      </c>
      <c r="T394" t="s">
        <v>68</v>
      </c>
      <c r="U394" t="str">
        <f>+LEFT(Table1[[#This Row],[category &amp; sub-category]],FIND("/",Table1[[#This Row],[category &amp; sub-category]])-1)</f>
        <v>publishing</v>
      </c>
      <c r="V394" t="str">
        <f>+RIGHT(Table1[[#This Row],[category &amp; sub-category]],LEN(Table1[[#This Row],[category &amp; sub-category]])-SEARCH("/",Table1[[#This Row],[category &amp; sub-category]]))</f>
        <v>nonfiction</v>
      </c>
    </row>
    <row r="395" spans="2:22" ht="15.75" customHeight="1" x14ac:dyDescent="0.25">
      <c r="B395">
        <v>392</v>
      </c>
      <c r="C395" t="s">
        <v>836</v>
      </c>
      <c r="D395" s="3" t="s">
        <v>837</v>
      </c>
      <c r="E395" s="6">
        <v>102900</v>
      </c>
      <c r="F395" s="6">
        <v>67546</v>
      </c>
      <c r="G395" s="17">
        <f>ROUND(Table1[[#This Row],[pledged]]/Table1[[#This Row],[goal]]*100,2)</f>
        <v>65.64</v>
      </c>
      <c r="H395" s="5">
        <f>+Table1[[#This Row],[pledged]]/Table1[[#This Row],[goal]]</f>
        <v>0.65642371234207963</v>
      </c>
      <c r="I395" t="s">
        <v>14</v>
      </c>
      <c r="J395">
        <v>1608</v>
      </c>
      <c r="K395" s="8">
        <f>IFERROR(Table1[[#This Row],[pledged]]/Table1[[#This Row],[backers_count]],"NA")</f>
        <v>42.006218905472636</v>
      </c>
      <c r="L395" t="s">
        <v>21</v>
      </c>
      <c r="M395" t="s">
        <v>22</v>
      </c>
      <c r="N395">
        <v>1294293600</v>
      </c>
      <c r="O395">
        <v>1294466400</v>
      </c>
      <c r="P395" s="11">
        <f>+(((Table1[[#This Row],[launched_at]]/60)/60)/24)+DATE(1970,1,1)</f>
        <v>40549.25</v>
      </c>
      <c r="Q395" s="11">
        <f>+(((Table1[[#This Row],[deadline]]/60)/60)/24)+DATE(1970,1,1)</f>
        <v>40551.25</v>
      </c>
      <c r="R395" t="b">
        <v>0</v>
      </c>
      <c r="S395" t="b">
        <v>0</v>
      </c>
      <c r="T395" t="s">
        <v>65</v>
      </c>
      <c r="U395" t="str">
        <f>+LEFT(Table1[[#This Row],[category &amp; sub-category]],FIND("/",Table1[[#This Row],[category &amp; sub-category]])-1)</f>
        <v>technology</v>
      </c>
      <c r="V395" t="str">
        <f>+RIGHT(Table1[[#This Row],[category &amp; sub-category]],LEN(Table1[[#This Row],[category &amp; sub-category]])-SEARCH("/",Table1[[#This Row],[category &amp; sub-category]]))</f>
        <v>wearables</v>
      </c>
    </row>
    <row r="396" spans="2:22" ht="15.75" customHeight="1" x14ac:dyDescent="0.25">
      <c r="B396">
        <v>393</v>
      </c>
      <c r="C396" t="s">
        <v>838</v>
      </c>
      <c r="D396" s="3" t="s">
        <v>839</v>
      </c>
      <c r="E396" s="6">
        <v>62800</v>
      </c>
      <c r="F396" s="6">
        <v>143788</v>
      </c>
      <c r="G396" s="17">
        <f>ROUND(Table1[[#This Row],[pledged]]/Table1[[#This Row],[goal]]*100,2)</f>
        <v>228.96</v>
      </c>
      <c r="H396" s="5">
        <f>+Table1[[#This Row],[pledged]]/Table1[[#This Row],[goal]]</f>
        <v>2.2896178343949045</v>
      </c>
      <c r="I396" t="s">
        <v>20</v>
      </c>
      <c r="J396">
        <v>3059</v>
      </c>
      <c r="K396" s="8">
        <f>IFERROR(Table1[[#This Row],[pledged]]/Table1[[#This Row],[backers_count]],"NA")</f>
        <v>47.004903563255965</v>
      </c>
      <c r="L396" t="s">
        <v>15</v>
      </c>
      <c r="M396" t="s">
        <v>16</v>
      </c>
      <c r="N396">
        <v>1500267600</v>
      </c>
      <c r="O396">
        <v>1500354000</v>
      </c>
      <c r="P396" s="11">
        <f>+(((Table1[[#This Row],[launched_at]]/60)/60)/24)+DATE(1970,1,1)</f>
        <v>42933.208333333328</v>
      </c>
      <c r="Q396" s="11">
        <f>+(((Table1[[#This Row],[deadline]]/60)/60)/24)+DATE(1970,1,1)</f>
        <v>42934.208333333328</v>
      </c>
      <c r="R396" t="b">
        <v>0</v>
      </c>
      <c r="S396" t="b">
        <v>0</v>
      </c>
      <c r="T396" t="s">
        <v>159</v>
      </c>
      <c r="U396" t="str">
        <f>+LEFT(Table1[[#This Row],[category &amp; sub-category]],FIND("/",Table1[[#This Row],[category &amp; sub-category]])-1)</f>
        <v>music</v>
      </c>
      <c r="V396" t="str">
        <f>+RIGHT(Table1[[#This Row],[category &amp; sub-category]],LEN(Table1[[#This Row],[category &amp; sub-category]])-SEARCH("/",Table1[[#This Row],[category &amp; sub-category]]))</f>
        <v>jazz</v>
      </c>
    </row>
    <row r="397" spans="2:22" ht="15.75" customHeight="1" x14ac:dyDescent="0.25">
      <c r="B397">
        <v>394</v>
      </c>
      <c r="C397" t="s">
        <v>840</v>
      </c>
      <c r="D397" s="3" t="s">
        <v>841</v>
      </c>
      <c r="E397" s="6">
        <v>800</v>
      </c>
      <c r="F397" s="6">
        <v>3755</v>
      </c>
      <c r="G397" s="17">
        <f>ROUND(Table1[[#This Row],[pledged]]/Table1[[#This Row],[goal]]*100,2)</f>
        <v>469.38</v>
      </c>
      <c r="H397" s="5">
        <f>+Table1[[#This Row],[pledged]]/Table1[[#This Row],[goal]]</f>
        <v>4.6937499999999996</v>
      </c>
      <c r="I397" t="s">
        <v>20</v>
      </c>
      <c r="J397">
        <v>34</v>
      </c>
      <c r="K397" s="8">
        <f>IFERROR(Table1[[#This Row],[pledged]]/Table1[[#This Row],[backers_count]],"NA")</f>
        <v>110.44117647058823</v>
      </c>
      <c r="L397" t="s">
        <v>21</v>
      </c>
      <c r="M397" t="s">
        <v>22</v>
      </c>
      <c r="N397">
        <v>1375074000</v>
      </c>
      <c r="O397">
        <v>1375938000</v>
      </c>
      <c r="P397" s="11">
        <f>+(((Table1[[#This Row],[launched_at]]/60)/60)/24)+DATE(1970,1,1)</f>
        <v>41484.208333333336</v>
      </c>
      <c r="Q397" s="11">
        <f>+(((Table1[[#This Row],[deadline]]/60)/60)/24)+DATE(1970,1,1)</f>
        <v>41494.208333333336</v>
      </c>
      <c r="R397" t="b">
        <v>0</v>
      </c>
      <c r="S397" t="b">
        <v>1</v>
      </c>
      <c r="T397" t="s">
        <v>42</v>
      </c>
      <c r="U397" t="str">
        <f>+LEFT(Table1[[#This Row],[category &amp; sub-category]],FIND("/",Table1[[#This Row],[category &amp; sub-category]])-1)</f>
        <v>film &amp; video</v>
      </c>
      <c r="V397" t="str">
        <f>+RIGHT(Table1[[#This Row],[category &amp; sub-category]],LEN(Table1[[#This Row],[category &amp; sub-category]])-SEARCH("/",Table1[[#This Row],[category &amp; sub-category]]))</f>
        <v>documentary</v>
      </c>
    </row>
    <row r="398" spans="2:22" ht="15.75" customHeight="1" x14ac:dyDescent="0.25">
      <c r="B398">
        <v>395</v>
      </c>
      <c r="C398" t="s">
        <v>295</v>
      </c>
      <c r="D398" s="3" t="s">
        <v>842</v>
      </c>
      <c r="E398" s="6">
        <v>7100</v>
      </c>
      <c r="F398" s="6">
        <v>9238</v>
      </c>
      <c r="G398" s="17">
        <f>ROUND(Table1[[#This Row],[pledged]]/Table1[[#This Row],[goal]]*100,2)</f>
        <v>130.11000000000001</v>
      </c>
      <c r="H398" s="5">
        <f>+Table1[[#This Row],[pledged]]/Table1[[#This Row],[goal]]</f>
        <v>1.3011267605633803</v>
      </c>
      <c r="I398" t="s">
        <v>20</v>
      </c>
      <c r="J398">
        <v>220</v>
      </c>
      <c r="K398" s="8">
        <f>IFERROR(Table1[[#This Row],[pledged]]/Table1[[#This Row],[backers_count]],"NA")</f>
        <v>41.990909090909092</v>
      </c>
      <c r="L398" t="s">
        <v>21</v>
      </c>
      <c r="M398" t="s">
        <v>22</v>
      </c>
      <c r="N398">
        <v>1323324000</v>
      </c>
      <c r="O398">
        <v>1323410400</v>
      </c>
      <c r="P398" s="11">
        <f>+(((Table1[[#This Row],[launched_at]]/60)/60)/24)+DATE(1970,1,1)</f>
        <v>40885.25</v>
      </c>
      <c r="Q398" s="11">
        <f>+(((Table1[[#This Row],[deadline]]/60)/60)/24)+DATE(1970,1,1)</f>
        <v>40886.25</v>
      </c>
      <c r="R398" t="b">
        <v>1</v>
      </c>
      <c r="S398" t="b">
        <v>0</v>
      </c>
      <c r="T398" t="s">
        <v>33</v>
      </c>
      <c r="U398" t="str">
        <f>+LEFT(Table1[[#This Row],[category &amp; sub-category]],FIND("/",Table1[[#This Row],[category &amp; sub-category]])-1)</f>
        <v>theater</v>
      </c>
      <c r="V398" t="str">
        <f>+RIGHT(Table1[[#This Row],[category &amp; sub-category]],LEN(Table1[[#This Row],[category &amp; sub-category]])-SEARCH("/",Table1[[#This Row],[category &amp; sub-category]]))</f>
        <v>plays</v>
      </c>
    </row>
    <row r="399" spans="2:22" ht="15.75" customHeight="1" x14ac:dyDescent="0.25">
      <c r="B399">
        <v>396</v>
      </c>
      <c r="C399" t="s">
        <v>843</v>
      </c>
      <c r="D399" s="3" t="s">
        <v>844</v>
      </c>
      <c r="E399" s="6">
        <v>46100</v>
      </c>
      <c r="F399" s="6">
        <v>77012</v>
      </c>
      <c r="G399" s="17">
        <f>ROUND(Table1[[#This Row],[pledged]]/Table1[[#This Row],[goal]]*100,2)</f>
        <v>167.05</v>
      </c>
      <c r="H399" s="5">
        <f>+Table1[[#This Row],[pledged]]/Table1[[#This Row],[goal]]</f>
        <v>1.6705422993492407</v>
      </c>
      <c r="I399" t="s">
        <v>20</v>
      </c>
      <c r="J399">
        <v>1604</v>
      </c>
      <c r="K399" s="8">
        <f>IFERROR(Table1[[#This Row],[pledged]]/Table1[[#This Row],[backers_count]],"NA")</f>
        <v>48.012468827930178</v>
      </c>
      <c r="L399" t="s">
        <v>26</v>
      </c>
      <c r="M399" t="s">
        <v>27</v>
      </c>
      <c r="N399">
        <v>1538715600</v>
      </c>
      <c r="O399">
        <v>1539406800</v>
      </c>
      <c r="P399" s="11">
        <f>+(((Table1[[#This Row],[launched_at]]/60)/60)/24)+DATE(1970,1,1)</f>
        <v>43378.208333333328</v>
      </c>
      <c r="Q399" s="11">
        <f>+(((Table1[[#This Row],[deadline]]/60)/60)/24)+DATE(1970,1,1)</f>
        <v>43386.208333333328</v>
      </c>
      <c r="R399" t="b">
        <v>0</v>
      </c>
      <c r="S399" t="b">
        <v>0</v>
      </c>
      <c r="T399" t="s">
        <v>53</v>
      </c>
      <c r="U399" t="str">
        <f>+LEFT(Table1[[#This Row],[category &amp; sub-category]],FIND("/",Table1[[#This Row],[category &amp; sub-category]])-1)</f>
        <v>film &amp; video</v>
      </c>
      <c r="V399" t="str">
        <f>+RIGHT(Table1[[#This Row],[category &amp; sub-category]],LEN(Table1[[#This Row],[category &amp; sub-category]])-SEARCH("/",Table1[[#This Row],[category &amp; sub-category]]))</f>
        <v>drama</v>
      </c>
    </row>
    <row r="400" spans="2:22" ht="15.75" customHeight="1" x14ac:dyDescent="0.25">
      <c r="B400">
        <v>397</v>
      </c>
      <c r="C400" t="s">
        <v>845</v>
      </c>
      <c r="D400" s="3" t="s">
        <v>846</v>
      </c>
      <c r="E400" s="6">
        <v>8100</v>
      </c>
      <c r="F400" s="6">
        <v>14083</v>
      </c>
      <c r="G400" s="17">
        <f>ROUND(Table1[[#This Row],[pledged]]/Table1[[#This Row],[goal]]*100,2)</f>
        <v>173.86</v>
      </c>
      <c r="H400" s="5">
        <f>+Table1[[#This Row],[pledged]]/Table1[[#This Row],[goal]]</f>
        <v>1.738641975308642</v>
      </c>
      <c r="I400" t="s">
        <v>20</v>
      </c>
      <c r="J400">
        <v>454</v>
      </c>
      <c r="K400" s="8">
        <f>IFERROR(Table1[[#This Row],[pledged]]/Table1[[#This Row],[backers_count]],"NA")</f>
        <v>31.019823788546255</v>
      </c>
      <c r="L400" t="s">
        <v>21</v>
      </c>
      <c r="M400" t="s">
        <v>22</v>
      </c>
      <c r="N400">
        <v>1369285200</v>
      </c>
      <c r="O400">
        <v>1369803600</v>
      </c>
      <c r="P400" s="11">
        <f>+(((Table1[[#This Row],[launched_at]]/60)/60)/24)+DATE(1970,1,1)</f>
        <v>41417.208333333336</v>
      </c>
      <c r="Q400" s="11">
        <f>+(((Table1[[#This Row],[deadline]]/60)/60)/24)+DATE(1970,1,1)</f>
        <v>41423.208333333336</v>
      </c>
      <c r="R400" t="b">
        <v>0</v>
      </c>
      <c r="S400" t="b">
        <v>0</v>
      </c>
      <c r="T400" t="s">
        <v>23</v>
      </c>
      <c r="U400" t="str">
        <f>+LEFT(Table1[[#This Row],[category &amp; sub-category]],FIND("/",Table1[[#This Row],[category &amp; sub-category]])-1)</f>
        <v>music</v>
      </c>
      <c r="V400" t="str">
        <f>+RIGHT(Table1[[#This Row],[category &amp; sub-category]],LEN(Table1[[#This Row],[category &amp; sub-category]])-SEARCH("/",Table1[[#This Row],[category &amp; sub-category]]))</f>
        <v>rock</v>
      </c>
    </row>
    <row r="401" spans="2:22" ht="15.75" customHeight="1" x14ac:dyDescent="0.25">
      <c r="B401">
        <v>398</v>
      </c>
      <c r="C401" t="s">
        <v>847</v>
      </c>
      <c r="D401" s="3" t="s">
        <v>848</v>
      </c>
      <c r="E401" s="6">
        <v>1700</v>
      </c>
      <c r="F401" s="6">
        <v>12202</v>
      </c>
      <c r="G401" s="17">
        <f>ROUND(Table1[[#This Row],[pledged]]/Table1[[#This Row],[goal]]*100,2)</f>
        <v>717.76</v>
      </c>
      <c r="H401" s="5">
        <f>+Table1[[#This Row],[pledged]]/Table1[[#This Row],[goal]]</f>
        <v>7.1776470588235295</v>
      </c>
      <c r="I401" t="s">
        <v>20</v>
      </c>
      <c r="J401">
        <v>123</v>
      </c>
      <c r="K401" s="8">
        <f>IFERROR(Table1[[#This Row],[pledged]]/Table1[[#This Row],[backers_count]],"NA")</f>
        <v>99.203252032520325</v>
      </c>
      <c r="L401" t="s">
        <v>107</v>
      </c>
      <c r="M401" t="s">
        <v>108</v>
      </c>
      <c r="N401">
        <v>1525755600</v>
      </c>
      <c r="O401">
        <v>1525928400</v>
      </c>
      <c r="P401" s="11">
        <f>+(((Table1[[#This Row],[launched_at]]/60)/60)/24)+DATE(1970,1,1)</f>
        <v>43228.208333333328</v>
      </c>
      <c r="Q401" s="11">
        <f>+(((Table1[[#This Row],[deadline]]/60)/60)/24)+DATE(1970,1,1)</f>
        <v>43230.208333333328</v>
      </c>
      <c r="R401" t="b">
        <v>0</v>
      </c>
      <c r="S401" t="b">
        <v>1</v>
      </c>
      <c r="T401" t="s">
        <v>71</v>
      </c>
      <c r="U401" t="str">
        <f>+LEFT(Table1[[#This Row],[category &amp; sub-category]],FIND("/",Table1[[#This Row],[category &amp; sub-category]])-1)</f>
        <v>film &amp; video</v>
      </c>
      <c r="V401" t="str">
        <f>+RIGHT(Table1[[#This Row],[category &amp; sub-category]],LEN(Table1[[#This Row],[category &amp; sub-category]])-SEARCH("/",Table1[[#This Row],[category &amp; sub-category]]))</f>
        <v>animation</v>
      </c>
    </row>
    <row r="402" spans="2:22" ht="15.75" customHeight="1" x14ac:dyDescent="0.25">
      <c r="B402">
        <v>399</v>
      </c>
      <c r="C402" t="s">
        <v>849</v>
      </c>
      <c r="D402" s="3" t="s">
        <v>850</v>
      </c>
      <c r="E402" s="6">
        <v>97300</v>
      </c>
      <c r="F402" s="6">
        <v>62127</v>
      </c>
      <c r="G402" s="17">
        <f>ROUND(Table1[[#This Row],[pledged]]/Table1[[#This Row],[goal]]*100,2)</f>
        <v>63.85</v>
      </c>
      <c r="H402" s="5">
        <f>+Table1[[#This Row],[pledged]]/Table1[[#This Row],[goal]]</f>
        <v>0.63850976361767731</v>
      </c>
      <c r="I402" t="s">
        <v>14</v>
      </c>
      <c r="J402">
        <v>941</v>
      </c>
      <c r="K402" s="8">
        <f>IFERROR(Table1[[#This Row],[pledged]]/Table1[[#This Row],[backers_count]],"NA")</f>
        <v>66.022316684378325</v>
      </c>
      <c r="L402" t="s">
        <v>21</v>
      </c>
      <c r="M402" t="s">
        <v>22</v>
      </c>
      <c r="N402">
        <v>1296626400</v>
      </c>
      <c r="O402">
        <v>1297231200</v>
      </c>
      <c r="P402" s="11">
        <f>+(((Table1[[#This Row],[launched_at]]/60)/60)/24)+DATE(1970,1,1)</f>
        <v>40576.25</v>
      </c>
      <c r="Q402" s="11">
        <f>+(((Table1[[#This Row],[deadline]]/60)/60)/24)+DATE(1970,1,1)</f>
        <v>40583.25</v>
      </c>
      <c r="R402" t="b">
        <v>0</v>
      </c>
      <c r="S402" t="b">
        <v>0</v>
      </c>
      <c r="T402" t="s">
        <v>60</v>
      </c>
      <c r="U402" t="str">
        <f>+LEFT(Table1[[#This Row],[category &amp; sub-category]],FIND("/",Table1[[#This Row],[category &amp; sub-category]])-1)</f>
        <v>music</v>
      </c>
      <c r="V402" t="str">
        <f>+RIGHT(Table1[[#This Row],[category &amp; sub-category]],LEN(Table1[[#This Row],[category &amp; sub-category]])-SEARCH("/",Table1[[#This Row],[category &amp; sub-category]]))</f>
        <v>indie rock</v>
      </c>
    </row>
    <row r="403" spans="2:22" ht="15.75" customHeight="1" x14ac:dyDescent="0.25">
      <c r="B403">
        <v>400</v>
      </c>
      <c r="C403" t="s">
        <v>851</v>
      </c>
      <c r="D403" s="3" t="s">
        <v>852</v>
      </c>
      <c r="E403" s="6">
        <v>100</v>
      </c>
      <c r="F403" s="6">
        <v>2</v>
      </c>
      <c r="G403" s="17">
        <f>ROUND(Table1[[#This Row],[pledged]]/Table1[[#This Row],[goal]]*100,2)</f>
        <v>2</v>
      </c>
      <c r="H403" s="5">
        <f>+Table1[[#This Row],[pledged]]/Table1[[#This Row],[goal]]</f>
        <v>0.02</v>
      </c>
      <c r="I403" t="s">
        <v>14</v>
      </c>
      <c r="J403">
        <v>1</v>
      </c>
      <c r="K403" s="8">
        <f>IFERROR(Table1[[#This Row],[pledged]]/Table1[[#This Row],[backers_count]],"NA")</f>
        <v>2</v>
      </c>
      <c r="L403" t="s">
        <v>21</v>
      </c>
      <c r="M403" t="s">
        <v>22</v>
      </c>
      <c r="N403">
        <v>1376629200</v>
      </c>
      <c r="O403">
        <v>1378530000</v>
      </c>
      <c r="P403" s="11">
        <f>+(((Table1[[#This Row],[launched_at]]/60)/60)/24)+DATE(1970,1,1)</f>
        <v>41502.208333333336</v>
      </c>
      <c r="Q403" s="11">
        <f>+(((Table1[[#This Row],[deadline]]/60)/60)/24)+DATE(1970,1,1)</f>
        <v>41524.208333333336</v>
      </c>
      <c r="R403" t="b">
        <v>0</v>
      </c>
      <c r="S403" t="b">
        <v>1</v>
      </c>
      <c r="T403" t="s">
        <v>122</v>
      </c>
      <c r="U403" t="str">
        <f>+LEFT(Table1[[#This Row],[category &amp; sub-category]],FIND("/",Table1[[#This Row],[category &amp; sub-category]])-1)</f>
        <v>photography</v>
      </c>
      <c r="V403" t="str">
        <f>+RIGHT(Table1[[#This Row],[category &amp; sub-category]],LEN(Table1[[#This Row],[category &amp; sub-category]])-SEARCH("/",Table1[[#This Row],[category &amp; sub-category]]))</f>
        <v>photography books</v>
      </c>
    </row>
    <row r="404" spans="2:22" ht="15.75" customHeight="1" x14ac:dyDescent="0.25">
      <c r="B404">
        <v>401</v>
      </c>
      <c r="C404" t="s">
        <v>853</v>
      </c>
      <c r="D404" s="3" t="s">
        <v>854</v>
      </c>
      <c r="E404" s="6">
        <v>900</v>
      </c>
      <c r="F404" s="6">
        <v>13772</v>
      </c>
      <c r="G404" s="17">
        <f>ROUND(Table1[[#This Row],[pledged]]/Table1[[#This Row],[goal]]*100,2)</f>
        <v>1530.22</v>
      </c>
      <c r="H404" s="5">
        <f>+Table1[[#This Row],[pledged]]/Table1[[#This Row],[goal]]</f>
        <v>15.302222222222222</v>
      </c>
      <c r="I404" t="s">
        <v>20</v>
      </c>
      <c r="J404">
        <v>299</v>
      </c>
      <c r="K404" s="8">
        <f>IFERROR(Table1[[#This Row],[pledged]]/Table1[[#This Row],[backers_count]],"NA")</f>
        <v>46.060200668896321</v>
      </c>
      <c r="L404" t="s">
        <v>21</v>
      </c>
      <c r="M404" t="s">
        <v>22</v>
      </c>
      <c r="N404">
        <v>1572152400</v>
      </c>
      <c r="O404">
        <v>1572152400</v>
      </c>
      <c r="P404" s="11">
        <f>+(((Table1[[#This Row],[launched_at]]/60)/60)/24)+DATE(1970,1,1)</f>
        <v>43765.208333333328</v>
      </c>
      <c r="Q404" s="11">
        <f>+(((Table1[[#This Row],[deadline]]/60)/60)/24)+DATE(1970,1,1)</f>
        <v>43765.208333333328</v>
      </c>
      <c r="R404" t="b">
        <v>0</v>
      </c>
      <c r="S404" t="b">
        <v>0</v>
      </c>
      <c r="T404" t="s">
        <v>33</v>
      </c>
      <c r="U404" t="str">
        <f>+LEFT(Table1[[#This Row],[category &amp; sub-category]],FIND("/",Table1[[#This Row],[category &amp; sub-category]])-1)</f>
        <v>theater</v>
      </c>
      <c r="V404" t="str">
        <f>+RIGHT(Table1[[#This Row],[category &amp; sub-category]],LEN(Table1[[#This Row],[category &amp; sub-category]])-SEARCH("/",Table1[[#This Row],[category &amp; sub-category]]))</f>
        <v>plays</v>
      </c>
    </row>
    <row r="405" spans="2:22" ht="15.75" customHeight="1" x14ac:dyDescent="0.25">
      <c r="B405">
        <v>402</v>
      </c>
      <c r="C405" t="s">
        <v>855</v>
      </c>
      <c r="D405" s="3" t="s">
        <v>856</v>
      </c>
      <c r="E405" s="6">
        <v>7300</v>
      </c>
      <c r="F405" s="6">
        <v>2946</v>
      </c>
      <c r="G405" s="17">
        <f>ROUND(Table1[[#This Row],[pledged]]/Table1[[#This Row],[goal]]*100,2)</f>
        <v>40.36</v>
      </c>
      <c r="H405" s="5">
        <f>+Table1[[#This Row],[pledged]]/Table1[[#This Row],[goal]]</f>
        <v>0.40356164383561643</v>
      </c>
      <c r="I405" t="s">
        <v>14</v>
      </c>
      <c r="J405">
        <v>40</v>
      </c>
      <c r="K405" s="8">
        <f>IFERROR(Table1[[#This Row],[pledged]]/Table1[[#This Row],[backers_count]],"NA")</f>
        <v>73.650000000000006</v>
      </c>
      <c r="L405" t="s">
        <v>21</v>
      </c>
      <c r="M405" t="s">
        <v>22</v>
      </c>
      <c r="N405">
        <v>1325829600</v>
      </c>
      <c r="O405">
        <v>1329890400</v>
      </c>
      <c r="P405" s="11">
        <f>+(((Table1[[#This Row],[launched_at]]/60)/60)/24)+DATE(1970,1,1)</f>
        <v>40914.25</v>
      </c>
      <c r="Q405" s="11">
        <f>+(((Table1[[#This Row],[deadline]]/60)/60)/24)+DATE(1970,1,1)</f>
        <v>40961.25</v>
      </c>
      <c r="R405" t="b">
        <v>0</v>
      </c>
      <c r="S405" t="b">
        <v>1</v>
      </c>
      <c r="T405" t="s">
        <v>100</v>
      </c>
      <c r="U405" t="str">
        <f>+LEFT(Table1[[#This Row],[category &amp; sub-category]],FIND("/",Table1[[#This Row],[category &amp; sub-category]])-1)</f>
        <v>film &amp; video</v>
      </c>
      <c r="V405" t="str">
        <f>+RIGHT(Table1[[#This Row],[category &amp; sub-category]],LEN(Table1[[#This Row],[category &amp; sub-category]])-SEARCH("/",Table1[[#This Row],[category &amp; sub-category]]))</f>
        <v>shorts</v>
      </c>
    </row>
    <row r="406" spans="2:22" ht="15.75" customHeight="1" x14ac:dyDescent="0.25">
      <c r="B406">
        <v>403</v>
      </c>
      <c r="C406" t="s">
        <v>857</v>
      </c>
      <c r="D406" s="3" t="s">
        <v>858</v>
      </c>
      <c r="E406" s="6">
        <v>195800</v>
      </c>
      <c r="F406" s="6">
        <v>168820</v>
      </c>
      <c r="G406" s="17">
        <f>ROUND(Table1[[#This Row],[pledged]]/Table1[[#This Row],[goal]]*100,2)</f>
        <v>86.22</v>
      </c>
      <c r="H406" s="5">
        <f>+Table1[[#This Row],[pledged]]/Table1[[#This Row],[goal]]</f>
        <v>0.86220633299284988</v>
      </c>
      <c r="I406" t="s">
        <v>14</v>
      </c>
      <c r="J406">
        <v>3015</v>
      </c>
      <c r="K406" s="8">
        <f>IFERROR(Table1[[#This Row],[pledged]]/Table1[[#This Row],[backers_count]],"NA")</f>
        <v>55.99336650082919</v>
      </c>
      <c r="L406" t="s">
        <v>15</v>
      </c>
      <c r="M406" t="s">
        <v>16</v>
      </c>
      <c r="N406">
        <v>1273640400</v>
      </c>
      <c r="O406">
        <v>1276750800</v>
      </c>
      <c r="P406" s="11">
        <f>+(((Table1[[#This Row],[launched_at]]/60)/60)/24)+DATE(1970,1,1)</f>
        <v>40310.208333333336</v>
      </c>
      <c r="Q406" s="11">
        <f>+(((Table1[[#This Row],[deadline]]/60)/60)/24)+DATE(1970,1,1)</f>
        <v>40346.208333333336</v>
      </c>
      <c r="R406" t="b">
        <v>0</v>
      </c>
      <c r="S406" t="b">
        <v>1</v>
      </c>
      <c r="T406" t="s">
        <v>33</v>
      </c>
      <c r="U406" t="str">
        <f>+LEFT(Table1[[#This Row],[category &amp; sub-category]],FIND("/",Table1[[#This Row],[category &amp; sub-category]])-1)</f>
        <v>theater</v>
      </c>
      <c r="V406" t="str">
        <f>+RIGHT(Table1[[#This Row],[category &amp; sub-category]],LEN(Table1[[#This Row],[category &amp; sub-category]])-SEARCH("/",Table1[[#This Row],[category &amp; sub-category]]))</f>
        <v>plays</v>
      </c>
    </row>
    <row r="407" spans="2:22" ht="15.75" customHeight="1" x14ac:dyDescent="0.25">
      <c r="B407">
        <v>404</v>
      </c>
      <c r="C407" t="s">
        <v>859</v>
      </c>
      <c r="D407" s="3" t="s">
        <v>860</v>
      </c>
      <c r="E407" s="6">
        <v>48900</v>
      </c>
      <c r="F407" s="6">
        <v>154321</v>
      </c>
      <c r="G407" s="17">
        <f>ROUND(Table1[[#This Row],[pledged]]/Table1[[#This Row],[goal]]*100,2)</f>
        <v>315.58</v>
      </c>
      <c r="H407" s="5">
        <f>+Table1[[#This Row],[pledged]]/Table1[[#This Row],[goal]]</f>
        <v>3.1558486707566464</v>
      </c>
      <c r="I407" t="s">
        <v>20</v>
      </c>
      <c r="J407">
        <v>2237</v>
      </c>
      <c r="K407" s="8">
        <f>IFERROR(Table1[[#This Row],[pledged]]/Table1[[#This Row],[backers_count]],"NA")</f>
        <v>68.985695127402778</v>
      </c>
      <c r="L407" t="s">
        <v>21</v>
      </c>
      <c r="M407" t="s">
        <v>22</v>
      </c>
      <c r="N407">
        <v>1510639200</v>
      </c>
      <c r="O407">
        <v>1510898400</v>
      </c>
      <c r="P407" s="11">
        <f>+(((Table1[[#This Row],[launched_at]]/60)/60)/24)+DATE(1970,1,1)</f>
        <v>43053.25</v>
      </c>
      <c r="Q407" s="11">
        <f>+(((Table1[[#This Row],[deadline]]/60)/60)/24)+DATE(1970,1,1)</f>
        <v>43056.25</v>
      </c>
      <c r="R407" t="b">
        <v>0</v>
      </c>
      <c r="S407" t="b">
        <v>0</v>
      </c>
      <c r="T407" t="s">
        <v>33</v>
      </c>
      <c r="U407" t="str">
        <f>+LEFT(Table1[[#This Row],[category &amp; sub-category]],FIND("/",Table1[[#This Row],[category &amp; sub-category]])-1)</f>
        <v>theater</v>
      </c>
      <c r="V407" t="str">
        <f>+RIGHT(Table1[[#This Row],[category &amp; sub-category]],LEN(Table1[[#This Row],[category &amp; sub-category]])-SEARCH("/",Table1[[#This Row],[category &amp; sub-category]]))</f>
        <v>plays</v>
      </c>
    </row>
    <row r="408" spans="2:22" ht="15.75" customHeight="1" x14ac:dyDescent="0.25">
      <c r="B408">
        <v>405</v>
      </c>
      <c r="C408" t="s">
        <v>861</v>
      </c>
      <c r="D408" s="3" t="s">
        <v>862</v>
      </c>
      <c r="E408" s="6">
        <v>29600</v>
      </c>
      <c r="F408" s="6">
        <v>26527</v>
      </c>
      <c r="G408" s="17">
        <f>ROUND(Table1[[#This Row],[pledged]]/Table1[[#This Row],[goal]]*100,2)</f>
        <v>89.62</v>
      </c>
      <c r="H408" s="5">
        <f>+Table1[[#This Row],[pledged]]/Table1[[#This Row],[goal]]</f>
        <v>0.89618243243243245</v>
      </c>
      <c r="I408" t="s">
        <v>14</v>
      </c>
      <c r="J408">
        <v>435</v>
      </c>
      <c r="K408" s="8">
        <f>IFERROR(Table1[[#This Row],[pledged]]/Table1[[#This Row],[backers_count]],"NA")</f>
        <v>60.981609195402299</v>
      </c>
      <c r="L408" t="s">
        <v>21</v>
      </c>
      <c r="M408" t="s">
        <v>22</v>
      </c>
      <c r="N408">
        <v>1528088400</v>
      </c>
      <c r="O408">
        <v>1532408400</v>
      </c>
      <c r="P408" s="11">
        <f>+(((Table1[[#This Row],[launched_at]]/60)/60)/24)+DATE(1970,1,1)</f>
        <v>43255.208333333328</v>
      </c>
      <c r="Q408" s="11">
        <f>+(((Table1[[#This Row],[deadline]]/60)/60)/24)+DATE(1970,1,1)</f>
        <v>43305.208333333328</v>
      </c>
      <c r="R408" t="b">
        <v>0</v>
      </c>
      <c r="S408" t="b">
        <v>0</v>
      </c>
      <c r="T408" t="s">
        <v>33</v>
      </c>
      <c r="U408" t="str">
        <f>+LEFT(Table1[[#This Row],[category &amp; sub-category]],FIND("/",Table1[[#This Row],[category &amp; sub-category]])-1)</f>
        <v>theater</v>
      </c>
      <c r="V408" t="str">
        <f>+RIGHT(Table1[[#This Row],[category &amp; sub-category]],LEN(Table1[[#This Row],[category &amp; sub-category]])-SEARCH("/",Table1[[#This Row],[category &amp; sub-category]]))</f>
        <v>plays</v>
      </c>
    </row>
    <row r="409" spans="2:22" ht="15.75" customHeight="1" x14ac:dyDescent="0.25">
      <c r="B409">
        <v>406</v>
      </c>
      <c r="C409" t="s">
        <v>863</v>
      </c>
      <c r="D409" s="3" t="s">
        <v>864</v>
      </c>
      <c r="E409" s="6">
        <v>39300</v>
      </c>
      <c r="F409" s="6">
        <v>71583</v>
      </c>
      <c r="G409" s="17">
        <f>ROUND(Table1[[#This Row],[pledged]]/Table1[[#This Row],[goal]]*100,2)</f>
        <v>182.15</v>
      </c>
      <c r="H409" s="5">
        <f>+Table1[[#This Row],[pledged]]/Table1[[#This Row],[goal]]</f>
        <v>1.8214503816793892</v>
      </c>
      <c r="I409" t="s">
        <v>20</v>
      </c>
      <c r="J409">
        <v>645</v>
      </c>
      <c r="K409" s="8">
        <f>IFERROR(Table1[[#This Row],[pledged]]/Table1[[#This Row],[backers_count]],"NA")</f>
        <v>110.98139534883721</v>
      </c>
      <c r="L409" t="s">
        <v>21</v>
      </c>
      <c r="M409" t="s">
        <v>22</v>
      </c>
      <c r="N409">
        <v>1359525600</v>
      </c>
      <c r="O409">
        <v>1360562400</v>
      </c>
      <c r="P409" s="11">
        <f>+(((Table1[[#This Row],[launched_at]]/60)/60)/24)+DATE(1970,1,1)</f>
        <v>41304.25</v>
      </c>
      <c r="Q409" s="11">
        <f>+(((Table1[[#This Row],[deadline]]/60)/60)/24)+DATE(1970,1,1)</f>
        <v>41316.25</v>
      </c>
      <c r="R409" t="b">
        <v>1</v>
      </c>
      <c r="S409" t="b">
        <v>0</v>
      </c>
      <c r="T409" t="s">
        <v>42</v>
      </c>
      <c r="U409" t="str">
        <f>+LEFT(Table1[[#This Row],[category &amp; sub-category]],FIND("/",Table1[[#This Row],[category &amp; sub-category]])-1)</f>
        <v>film &amp; video</v>
      </c>
      <c r="V409" t="str">
        <f>+RIGHT(Table1[[#This Row],[category &amp; sub-category]],LEN(Table1[[#This Row],[category &amp; sub-category]])-SEARCH("/",Table1[[#This Row],[category &amp; sub-category]]))</f>
        <v>documentary</v>
      </c>
    </row>
    <row r="410" spans="2:22" ht="15.75" customHeight="1" x14ac:dyDescent="0.25">
      <c r="B410">
        <v>407</v>
      </c>
      <c r="C410" t="s">
        <v>865</v>
      </c>
      <c r="D410" s="3" t="s">
        <v>866</v>
      </c>
      <c r="E410" s="6">
        <v>3400</v>
      </c>
      <c r="F410" s="6">
        <v>12100</v>
      </c>
      <c r="G410" s="17">
        <f>ROUND(Table1[[#This Row],[pledged]]/Table1[[#This Row],[goal]]*100,2)</f>
        <v>355.88</v>
      </c>
      <c r="H410" s="5">
        <f>+Table1[[#This Row],[pledged]]/Table1[[#This Row],[goal]]</f>
        <v>3.5588235294117645</v>
      </c>
      <c r="I410" t="s">
        <v>20</v>
      </c>
      <c r="J410">
        <v>484</v>
      </c>
      <c r="K410" s="8">
        <f>IFERROR(Table1[[#This Row],[pledged]]/Table1[[#This Row],[backers_count]],"NA")</f>
        <v>25</v>
      </c>
      <c r="L410" t="s">
        <v>36</v>
      </c>
      <c r="M410" t="s">
        <v>37</v>
      </c>
      <c r="N410">
        <v>1570942800</v>
      </c>
      <c r="O410">
        <v>1571547600</v>
      </c>
      <c r="P410" s="11">
        <f>+(((Table1[[#This Row],[launched_at]]/60)/60)/24)+DATE(1970,1,1)</f>
        <v>43751.208333333328</v>
      </c>
      <c r="Q410" s="11">
        <f>+(((Table1[[#This Row],[deadline]]/60)/60)/24)+DATE(1970,1,1)</f>
        <v>43758.208333333328</v>
      </c>
      <c r="R410" t="b">
        <v>0</v>
      </c>
      <c r="S410" t="b">
        <v>0</v>
      </c>
      <c r="T410" t="s">
        <v>33</v>
      </c>
      <c r="U410" t="str">
        <f>+LEFT(Table1[[#This Row],[category &amp; sub-category]],FIND("/",Table1[[#This Row],[category &amp; sub-category]])-1)</f>
        <v>theater</v>
      </c>
      <c r="V410" t="str">
        <f>+RIGHT(Table1[[#This Row],[category &amp; sub-category]],LEN(Table1[[#This Row],[category &amp; sub-category]])-SEARCH("/",Table1[[#This Row],[category &amp; sub-category]]))</f>
        <v>plays</v>
      </c>
    </row>
    <row r="411" spans="2:22" ht="15.75" customHeight="1" x14ac:dyDescent="0.25">
      <c r="B411">
        <v>408</v>
      </c>
      <c r="C411" t="s">
        <v>867</v>
      </c>
      <c r="D411" s="3" t="s">
        <v>868</v>
      </c>
      <c r="E411" s="6">
        <v>9200</v>
      </c>
      <c r="F411" s="6">
        <v>12129</v>
      </c>
      <c r="G411" s="17">
        <f>ROUND(Table1[[#This Row],[pledged]]/Table1[[#This Row],[goal]]*100,2)</f>
        <v>131.84</v>
      </c>
      <c r="H411" s="5">
        <f>+Table1[[#This Row],[pledged]]/Table1[[#This Row],[goal]]</f>
        <v>1.3183695652173912</v>
      </c>
      <c r="I411" t="s">
        <v>20</v>
      </c>
      <c r="J411">
        <v>154</v>
      </c>
      <c r="K411" s="8">
        <f>IFERROR(Table1[[#This Row],[pledged]]/Table1[[#This Row],[backers_count]],"NA")</f>
        <v>78.759740259740255</v>
      </c>
      <c r="L411" t="s">
        <v>15</v>
      </c>
      <c r="M411" t="s">
        <v>16</v>
      </c>
      <c r="N411">
        <v>1466398800</v>
      </c>
      <c r="O411">
        <v>1468126800</v>
      </c>
      <c r="P411" s="11">
        <f>+(((Table1[[#This Row],[launched_at]]/60)/60)/24)+DATE(1970,1,1)</f>
        <v>42541.208333333328</v>
      </c>
      <c r="Q411" s="11">
        <f>+(((Table1[[#This Row],[deadline]]/60)/60)/24)+DATE(1970,1,1)</f>
        <v>42561.208333333328</v>
      </c>
      <c r="R411" t="b">
        <v>0</v>
      </c>
      <c r="S411" t="b">
        <v>0</v>
      </c>
      <c r="T411" t="s">
        <v>42</v>
      </c>
      <c r="U411" t="str">
        <f>+LEFT(Table1[[#This Row],[category &amp; sub-category]],FIND("/",Table1[[#This Row],[category &amp; sub-category]])-1)</f>
        <v>film &amp; video</v>
      </c>
      <c r="V411" t="str">
        <f>+RIGHT(Table1[[#This Row],[category &amp; sub-category]],LEN(Table1[[#This Row],[category &amp; sub-category]])-SEARCH("/",Table1[[#This Row],[category &amp; sub-category]]))</f>
        <v>documentary</v>
      </c>
    </row>
    <row r="412" spans="2:22" ht="15.75" customHeight="1" x14ac:dyDescent="0.25">
      <c r="B412">
        <v>409</v>
      </c>
      <c r="C412" t="s">
        <v>243</v>
      </c>
      <c r="D412" s="3" t="s">
        <v>869</v>
      </c>
      <c r="E412" s="6">
        <v>135600</v>
      </c>
      <c r="F412" s="6">
        <v>62804</v>
      </c>
      <c r="G412" s="17">
        <f>ROUND(Table1[[#This Row],[pledged]]/Table1[[#This Row],[goal]]*100,2)</f>
        <v>46.32</v>
      </c>
      <c r="H412" s="5">
        <f>+Table1[[#This Row],[pledged]]/Table1[[#This Row],[goal]]</f>
        <v>0.46315634218289087</v>
      </c>
      <c r="I412" t="s">
        <v>14</v>
      </c>
      <c r="J412">
        <v>714</v>
      </c>
      <c r="K412" s="8">
        <f>IFERROR(Table1[[#This Row],[pledged]]/Table1[[#This Row],[backers_count]],"NA")</f>
        <v>87.960784313725483</v>
      </c>
      <c r="L412" t="s">
        <v>21</v>
      </c>
      <c r="M412" t="s">
        <v>22</v>
      </c>
      <c r="N412">
        <v>1492491600</v>
      </c>
      <c r="O412">
        <v>1492837200</v>
      </c>
      <c r="P412" s="11">
        <f>+(((Table1[[#This Row],[launched_at]]/60)/60)/24)+DATE(1970,1,1)</f>
        <v>42843.208333333328</v>
      </c>
      <c r="Q412" s="11">
        <f>+(((Table1[[#This Row],[deadline]]/60)/60)/24)+DATE(1970,1,1)</f>
        <v>42847.208333333328</v>
      </c>
      <c r="R412" t="b">
        <v>0</v>
      </c>
      <c r="S412" t="b">
        <v>0</v>
      </c>
      <c r="T412" t="s">
        <v>23</v>
      </c>
      <c r="U412" t="str">
        <f>+LEFT(Table1[[#This Row],[category &amp; sub-category]],FIND("/",Table1[[#This Row],[category &amp; sub-category]])-1)</f>
        <v>music</v>
      </c>
      <c r="V412" t="str">
        <f>+RIGHT(Table1[[#This Row],[category &amp; sub-category]],LEN(Table1[[#This Row],[category &amp; sub-category]])-SEARCH("/",Table1[[#This Row],[category &amp; sub-category]]))</f>
        <v>rock</v>
      </c>
    </row>
    <row r="413" spans="2:22" ht="15.75" customHeight="1" x14ac:dyDescent="0.25">
      <c r="B413">
        <v>410</v>
      </c>
      <c r="C413" t="s">
        <v>870</v>
      </c>
      <c r="D413" s="3" t="s">
        <v>871</v>
      </c>
      <c r="E413" s="6">
        <v>153700</v>
      </c>
      <c r="F413" s="6">
        <v>55536</v>
      </c>
      <c r="G413" s="17">
        <f>ROUND(Table1[[#This Row],[pledged]]/Table1[[#This Row],[goal]]*100,2)</f>
        <v>36.130000000000003</v>
      </c>
      <c r="H413" s="5">
        <f>+Table1[[#This Row],[pledged]]/Table1[[#This Row],[goal]]</f>
        <v>0.36132726089785294</v>
      </c>
      <c r="I413" t="s">
        <v>47</v>
      </c>
      <c r="J413">
        <v>1111</v>
      </c>
      <c r="K413" s="8">
        <f>IFERROR(Table1[[#This Row],[pledged]]/Table1[[#This Row],[backers_count]],"NA")</f>
        <v>49.987398739873989</v>
      </c>
      <c r="L413" t="s">
        <v>21</v>
      </c>
      <c r="M413" t="s">
        <v>22</v>
      </c>
      <c r="N413">
        <v>1430197200</v>
      </c>
      <c r="O413">
        <v>1430197200</v>
      </c>
      <c r="P413" s="11">
        <f>+(((Table1[[#This Row],[launched_at]]/60)/60)/24)+DATE(1970,1,1)</f>
        <v>42122.208333333328</v>
      </c>
      <c r="Q413" s="11">
        <f>+(((Table1[[#This Row],[deadline]]/60)/60)/24)+DATE(1970,1,1)</f>
        <v>42122.208333333328</v>
      </c>
      <c r="R413" t="b">
        <v>0</v>
      </c>
      <c r="S413" t="b">
        <v>0</v>
      </c>
      <c r="T413" t="s">
        <v>292</v>
      </c>
      <c r="U413" t="str">
        <f>+LEFT(Table1[[#This Row],[category &amp; sub-category]],FIND("/",Table1[[#This Row],[category &amp; sub-category]])-1)</f>
        <v>games</v>
      </c>
      <c r="V413" t="str">
        <f>+RIGHT(Table1[[#This Row],[category &amp; sub-category]],LEN(Table1[[#This Row],[category &amp; sub-category]])-SEARCH("/",Table1[[#This Row],[category &amp; sub-category]]))</f>
        <v>mobile games</v>
      </c>
    </row>
    <row r="414" spans="2:22" ht="15.75" customHeight="1" x14ac:dyDescent="0.25">
      <c r="B414">
        <v>411</v>
      </c>
      <c r="C414" t="s">
        <v>872</v>
      </c>
      <c r="D414" s="3" t="s">
        <v>873</v>
      </c>
      <c r="E414" s="6">
        <v>7800</v>
      </c>
      <c r="F414" s="6">
        <v>8161</v>
      </c>
      <c r="G414" s="17">
        <f>ROUND(Table1[[#This Row],[pledged]]/Table1[[#This Row],[goal]]*100,2)</f>
        <v>104.63</v>
      </c>
      <c r="H414" s="5">
        <f>+Table1[[#This Row],[pledged]]/Table1[[#This Row],[goal]]</f>
        <v>1.0462820512820512</v>
      </c>
      <c r="I414" t="s">
        <v>20</v>
      </c>
      <c r="J414">
        <v>82</v>
      </c>
      <c r="K414" s="8">
        <f>IFERROR(Table1[[#This Row],[pledged]]/Table1[[#This Row],[backers_count]],"NA")</f>
        <v>99.524390243902445</v>
      </c>
      <c r="L414" t="s">
        <v>21</v>
      </c>
      <c r="M414" t="s">
        <v>22</v>
      </c>
      <c r="N414">
        <v>1496034000</v>
      </c>
      <c r="O414">
        <v>1496206800</v>
      </c>
      <c r="P414" s="11">
        <f>+(((Table1[[#This Row],[launched_at]]/60)/60)/24)+DATE(1970,1,1)</f>
        <v>42884.208333333328</v>
      </c>
      <c r="Q414" s="11">
        <f>+(((Table1[[#This Row],[deadline]]/60)/60)/24)+DATE(1970,1,1)</f>
        <v>42886.208333333328</v>
      </c>
      <c r="R414" t="b">
        <v>0</v>
      </c>
      <c r="S414" t="b">
        <v>0</v>
      </c>
      <c r="T414" t="s">
        <v>33</v>
      </c>
      <c r="U414" t="str">
        <f>+LEFT(Table1[[#This Row],[category &amp; sub-category]],FIND("/",Table1[[#This Row],[category &amp; sub-category]])-1)</f>
        <v>theater</v>
      </c>
      <c r="V414" t="str">
        <f>+RIGHT(Table1[[#This Row],[category &amp; sub-category]],LEN(Table1[[#This Row],[category &amp; sub-category]])-SEARCH("/",Table1[[#This Row],[category &amp; sub-category]]))</f>
        <v>plays</v>
      </c>
    </row>
    <row r="415" spans="2:22" ht="15.75" customHeight="1" x14ac:dyDescent="0.25">
      <c r="B415">
        <v>412</v>
      </c>
      <c r="C415" t="s">
        <v>874</v>
      </c>
      <c r="D415" s="3" t="s">
        <v>875</v>
      </c>
      <c r="E415" s="6">
        <v>2100</v>
      </c>
      <c r="F415" s="6">
        <v>14046</v>
      </c>
      <c r="G415" s="17">
        <f>ROUND(Table1[[#This Row],[pledged]]/Table1[[#This Row],[goal]]*100,2)</f>
        <v>668.86</v>
      </c>
      <c r="H415" s="5">
        <f>+Table1[[#This Row],[pledged]]/Table1[[#This Row],[goal]]</f>
        <v>6.6885714285714286</v>
      </c>
      <c r="I415" t="s">
        <v>20</v>
      </c>
      <c r="J415">
        <v>134</v>
      </c>
      <c r="K415" s="8">
        <f>IFERROR(Table1[[#This Row],[pledged]]/Table1[[#This Row],[backers_count]],"NA")</f>
        <v>104.82089552238806</v>
      </c>
      <c r="L415" t="s">
        <v>21</v>
      </c>
      <c r="M415" t="s">
        <v>22</v>
      </c>
      <c r="N415">
        <v>1388728800</v>
      </c>
      <c r="O415">
        <v>1389592800</v>
      </c>
      <c r="P415" s="11">
        <f>+(((Table1[[#This Row],[launched_at]]/60)/60)/24)+DATE(1970,1,1)</f>
        <v>41642.25</v>
      </c>
      <c r="Q415" s="11">
        <f>+(((Table1[[#This Row],[deadline]]/60)/60)/24)+DATE(1970,1,1)</f>
        <v>41652.25</v>
      </c>
      <c r="R415" t="b">
        <v>0</v>
      </c>
      <c r="S415" t="b">
        <v>0</v>
      </c>
      <c r="T415" t="s">
        <v>119</v>
      </c>
      <c r="U415" t="str">
        <f>+LEFT(Table1[[#This Row],[category &amp; sub-category]],FIND("/",Table1[[#This Row],[category &amp; sub-category]])-1)</f>
        <v>publishing</v>
      </c>
      <c r="V415" t="str">
        <f>+RIGHT(Table1[[#This Row],[category &amp; sub-category]],LEN(Table1[[#This Row],[category &amp; sub-category]])-SEARCH("/",Table1[[#This Row],[category &amp; sub-category]]))</f>
        <v>fiction</v>
      </c>
    </row>
    <row r="416" spans="2:22" ht="15.75" customHeight="1" x14ac:dyDescent="0.25">
      <c r="B416">
        <v>413</v>
      </c>
      <c r="C416" t="s">
        <v>876</v>
      </c>
      <c r="D416" s="3" t="s">
        <v>877</v>
      </c>
      <c r="E416" s="6">
        <v>189500</v>
      </c>
      <c r="F416" s="6">
        <v>117628</v>
      </c>
      <c r="G416" s="17">
        <f>ROUND(Table1[[#This Row],[pledged]]/Table1[[#This Row],[goal]]*100,2)</f>
        <v>62.07</v>
      </c>
      <c r="H416" s="5">
        <f>+Table1[[#This Row],[pledged]]/Table1[[#This Row],[goal]]</f>
        <v>0.62072823218997364</v>
      </c>
      <c r="I416" t="s">
        <v>47</v>
      </c>
      <c r="J416">
        <v>1089</v>
      </c>
      <c r="K416" s="8">
        <f>IFERROR(Table1[[#This Row],[pledged]]/Table1[[#This Row],[backers_count]],"NA")</f>
        <v>108.01469237832875</v>
      </c>
      <c r="L416" t="s">
        <v>21</v>
      </c>
      <c r="M416" t="s">
        <v>22</v>
      </c>
      <c r="N416">
        <v>1543298400</v>
      </c>
      <c r="O416">
        <v>1545631200</v>
      </c>
      <c r="P416" s="11">
        <f>+(((Table1[[#This Row],[launched_at]]/60)/60)/24)+DATE(1970,1,1)</f>
        <v>43431.25</v>
      </c>
      <c r="Q416" s="11">
        <f>+(((Table1[[#This Row],[deadline]]/60)/60)/24)+DATE(1970,1,1)</f>
        <v>43458.25</v>
      </c>
      <c r="R416" t="b">
        <v>0</v>
      </c>
      <c r="S416" t="b">
        <v>0</v>
      </c>
      <c r="T416" t="s">
        <v>71</v>
      </c>
      <c r="U416" t="str">
        <f>+LEFT(Table1[[#This Row],[category &amp; sub-category]],FIND("/",Table1[[#This Row],[category &amp; sub-category]])-1)</f>
        <v>film &amp; video</v>
      </c>
      <c r="V416" t="str">
        <f>+RIGHT(Table1[[#This Row],[category &amp; sub-category]],LEN(Table1[[#This Row],[category &amp; sub-category]])-SEARCH("/",Table1[[#This Row],[category &amp; sub-category]]))</f>
        <v>animation</v>
      </c>
    </row>
    <row r="417" spans="2:22" ht="15.75" customHeight="1" x14ac:dyDescent="0.25">
      <c r="B417">
        <v>414</v>
      </c>
      <c r="C417" t="s">
        <v>878</v>
      </c>
      <c r="D417" s="3" t="s">
        <v>879</v>
      </c>
      <c r="E417" s="6">
        <v>188200</v>
      </c>
      <c r="F417" s="6">
        <v>159405</v>
      </c>
      <c r="G417" s="17">
        <f>ROUND(Table1[[#This Row],[pledged]]/Table1[[#This Row],[goal]]*100,2)</f>
        <v>84.7</v>
      </c>
      <c r="H417" s="5">
        <f>+Table1[[#This Row],[pledged]]/Table1[[#This Row],[goal]]</f>
        <v>0.84699787460148779</v>
      </c>
      <c r="I417" t="s">
        <v>14</v>
      </c>
      <c r="J417">
        <v>5497</v>
      </c>
      <c r="K417" s="8">
        <f>IFERROR(Table1[[#This Row],[pledged]]/Table1[[#This Row],[backers_count]],"NA")</f>
        <v>28.998544660724033</v>
      </c>
      <c r="L417" t="s">
        <v>21</v>
      </c>
      <c r="M417" t="s">
        <v>22</v>
      </c>
      <c r="N417">
        <v>1271739600</v>
      </c>
      <c r="O417">
        <v>1272430800</v>
      </c>
      <c r="P417" s="11">
        <f>+(((Table1[[#This Row],[launched_at]]/60)/60)/24)+DATE(1970,1,1)</f>
        <v>40288.208333333336</v>
      </c>
      <c r="Q417" s="11">
        <f>+(((Table1[[#This Row],[deadline]]/60)/60)/24)+DATE(1970,1,1)</f>
        <v>40296.208333333336</v>
      </c>
      <c r="R417" t="b">
        <v>0</v>
      </c>
      <c r="S417" t="b">
        <v>1</v>
      </c>
      <c r="T417" t="s">
        <v>17</v>
      </c>
      <c r="U417" t="str">
        <f>+LEFT(Table1[[#This Row],[category &amp; sub-category]],FIND("/",Table1[[#This Row],[category &amp; sub-category]])-1)</f>
        <v>food</v>
      </c>
      <c r="V417" t="str">
        <f>+RIGHT(Table1[[#This Row],[category &amp; sub-category]],LEN(Table1[[#This Row],[category &amp; sub-category]])-SEARCH("/",Table1[[#This Row],[category &amp; sub-category]]))</f>
        <v>food trucks</v>
      </c>
    </row>
    <row r="418" spans="2:22" ht="15.75" customHeight="1" x14ac:dyDescent="0.25">
      <c r="B418">
        <v>415</v>
      </c>
      <c r="C418" t="s">
        <v>880</v>
      </c>
      <c r="D418" s="3" t="s">
        <v>881</v>
      </c>
      <c r="E418" s="6">
        <v>113500</v>
      </c>
      <c r="F418" s="6">
        <v>12552</v>
      </c>
      <c r="G418" s="17">
        <f>ROUND(Table1[[#This Row],[pledged]]/Table1[[#This Row],[goal]]*100,2)</f>
        <v>11.06</v>
      </c>
      <c r="H418" s="5">
        <f>+Table1[[#This Row],[pledged]]/Table1[[#This Row],[goal]]</f>
        <v>0.11059030837004405</v>
      </c>
      <c r="I418" t="s">
        <v>14</v>
      </c>
      <c r="J418">
        <v>418</v>
      </c>
      <c r="K418" s="8">
        <f>IFERROR(Table1[[#This Row],[pledged]]/Table1[[#This Row],[backers_count]],"NA")</f>
        <v>30.028708133971293</v>
      </c>
      <c r="L418" t="s">
        <v>21</v>
      </c>
      <c r="M418" t="s">
        <v>22</v>
      </c>
      <c r="N418">
        <v>1326434400</v>
      </c>
      <c r="O418">
        <v>1327903200</v>
      </c>
      <c r="P418" s="11">
        <f>+(((Table1[[#This Row],[launched_at]]/60)/60)/24)+DATE(1970,1,1)</f>
        <v>40921.25</v>
      </c>
      <c r="Q418" s="11">
        <f>+(((Table1[[#This Row],[deadline]]/60)/60)/24)+DATE(1970,1,1)</f>
        <v>40938.25</v>
      </c>
      <c r="R418" t="b">
        <v>0</v>
      </c>
      <c r="S418" t="b">
        <v>0</v>
      </c>
      <c r="T418" t="s">
        <v>33</v>
      </c>
      <c r="U418" t="str">
        <f>+LEFT(Table1[[#This Row],[category &amp; sub-category]],FIND("/",Table1[[#This Row],[category &amp; sub-category]])-1)</f>
        <v>theater</v>
      </c>
      <c r="V418" t="str">
        <f>+RIGHT(Table1[[#This Row],[category &amp; sub-category]],LEN(Table1[[#This Row],[category &amp; sub-category]])-SEARCH("/",Table1[[#This Row],[category &amp; sub-category]]))</f>
        <v>plays</v>
      </c>
    </row>
    <row r="419" spans="2:22" ht="15.75" customHeight="1" x14ac:dyDescent="0.25">
      <c r="B419">
        <v>416</v>
      </c>
      <c r="C419" t="s">
        <v>882</v>
      </c>
      <c r="D419" s="3" t="s">
        <v>883</v>
      </c>
      <c r="E419" s="6">
        <v>134600</v>
      </c>
      <c r="F419" s="6">
        <v>59007</v>
      </c>
      <c r="G419" s="17">
        <f>ROUND(Table1[[#This Row],[pledged]]/Table1[[#This Row],[goal]]*100,2)</f>
        <v>43.84</v>
      </c>
      <c r="H419" s="5">
        <f>+Table1[[#This Row],[pledged]]/Table1[[#This Row],[goal]]</f>
        <v>0.43838781575037145</v>
      </c>
      <c r="I419" t="s">
        <v>14</v>
      </c>
      <c r="J419">
        <v>1439</v>
      </c>
      <c r="K419" s="8">
        <f>IFERROR(Table1[[#This Row],[pledged]]/Table1[[#This Row],[backers_count]],"NA")</f>
        <v>41.005559416261292</v>
      </c>
      <c r="L419" t="s">
        <v>21</v>
      </c>
      <c r="M419" t="s">
        <v>22</v>
      </c>
      <c r="N419">
        <v>1295244000</v>
      </c>
      <c r="O419">
        <v>1296021600</v>
      </c>
      <c r="P419" s="11">
        <f>+(((Table1[[#This Row],[launched_at]]/60)/60)/24)+DATE(1970,1,1)</f>
        <v>40560.25</v>
      </c>
      <c r="Q419" s="11">
        <f>+(((Table1[[#This Row],[deadline]]/60)/60)/24)+DATE(1970,1,1)</f>
        <v>40569.25</v>
      </c>
      <c r="R419" t="b">
        <v>0</v>
      </c>
      <c r="S419" t="b">
        <v>1</v>
      </c>
      <c r="T419" t="s">
        <v>42</v>
      </c>
      <c r="U419" t="str">
        <f>+LEFT(Table1[[#This Row],[category &amp; sub-category]],FIND("/",Table1[[#This Row],[category &amp; sub-category]])-1)</f>
        <v>film &amp; video</v>
      </c>
      <c r="V419" t="str">
        <f>+RIGHT(Table1[[#This Row],[category &amp; sub-category]],LEN(Table1[[#This Row],[category &amp; sub-category]])-SEARCH("/",Table1[[#This Row],[category &amp; sub-category]]))</f>
        <v>documentary</v>
      </c>
    </row>
    <row r="420" spans="2:22" ht="15.75" customHeight="1" x14ac:dyDescent="0.25">
      <c r="B420">
        <v>417</v>
      </c>
      <c r="C420" t="s">
        <v>884</v>
      </c>
      <c r="D420" s="3" t="s">
        <v>885</v>
      </c>
      <c r="E420" s="6">
        <v>1700</v>
      </c>
      <c r="F420" s="6">
        <v>943</v>
      </c>
      <c r="G420" s="17">
        <f>ROUND(Table1[[#This Row],[pledged]]/Table1[[#This Row],[goal]]*100,2)</f>
        <v>55.47</v>
      </c>
      <c r="H420" s="5">
        <f>+Table1[[#This Row],[pledged]]/Table1[[#This Row],[goal]]</f>
        <v>0.55470588235294116</v>
      </c>
      <c r="I420" t="s">
        <v>14</v>
      </c>
      <c r="J420">
        <v>15</v>
      </c>
      <c r="K420" s="8">
        <f>IFERROR(Table1[[#This Row],[pledged]]/Table1[[#This Row],[backers_count]],"NA")</f>
        <v>62.866666666666667</v>
      </c>
      <c r="L420" t="s">
        <v>21</v>
      </c>
      <c r="M420" t="s">
        <v>22</v>
      </c>
      <c r="N420">
        <v>1541221200</v>
      </c>
      <c r="O420">
        <v>1543298400</v>
      </c>
      <c r="P420" s="11">
        <f>+(((Table1[[#This Row],[launched_at]]/60)/60)/24)+DATE(1970,1,1)</f>
        <v>43407.208333333328</v>
      </c>
      <c r="Q420" s="11">
        <f>+(((Table1[[#This Row],[deadline]]/60)/60)/24)+DATE(1970,1,1)</f>
        <v>43431.25</v>
      </c>
      <c r="R420" t="b">
        <v>0</v>
      </c>
      <c r="S420" t="b">
        <v>0</v>
      </c>
      <c r="T420" t="s">
        <v>33</v>
      </c>
      <c r="U420" t="str">
        <f>+LEFT(Table1[[#This Row],[category &amp; sub-category]],FIND("/",Table1[[#This Row],[category &amp; sub-category]])-1)</f>
        <v>theater</v>
      </c>
      <c r="V420" t="str">
        <f>+RIGHT(Table1[[#This Row],[category &amp; sub-category]],LEN(Table1[[#This Row],[category &amp; sub-category]])-SEARCH("/",Table1[[#This Row],[category &amp; sub-category]]))</f>
        <v>plays</v>
      </c>
    </row>
    <row r="421" spans="2:22" ht="15.75" customHeight="1" x14ac:dyDescent="0.25">
      <c r="B421">
        <v>418</v>
      </c>
      <c r="C421" t="s">
        <v>105</v>
      </c>
      <c r="D421" s="3" t="s">
        <v>886</v>
      </c>
      <c r="E421" s="6">
        <v>163700</v>
      </c>
      <c r="F421" s="6">
        <v>93963</v>
      </c>
      <c r="G421" s="17">
        <f>ROUND(Table1[[#This Row],[pledged]]/Table1[[#This Row],[goal]]*100,2)</f>
        <v>57.4</v>
      </c>
      <c r="H421" s="5">
        <f>+Table1[[#This Row],[pledged]]/Table1[[#This Row],[goal]]</f>
        <v>0.57399511301160655</v>
      </c>
      <c r="I421" t="s">
        <v>14</v>
      </c>
      <c r="J421">
        <v>1999</v>
      </c>
      <c r="K421" s="8">
        <f>IFERROR(Table1[[#This Row],[pledged]]/Table1[[#This Row],[backers_count]],"NA")</f>
        <v>47.005002501250623</v>
      </c>
      <c r="L421" t="s">
        <v>15</v>
      </c>
      <c r="M421" t="s">
        <v>16</v>
      </c>
      <c r="N421">
        <v>1336280400</v>
      </c>
      <c r="O421">
        <v>1336366800</v>
      </c>
      <c r="P421" s="11">
        <f>+(((Table1[[#This Row],[launched_at]]/60)/60)/24)+DATE(1970,1,1)</f>
        <v>41035.208333333336</v>
      </c>
      <c r="Q421" s="11">
        <f>+(((Table1[[#This Row],[deadline]]/60)/60)/24)+DATE(1970,1,1)</f>
        <v>41036.208333333336</v>
      </c>
      <c r="R421" t="b">
        <v>0</v>
      </c>
      <c r="S421" t="b">
        <v>0</v>
      </c>
      <c r="T421" t="s">
        <v>42</v>
      </c>
      <c r="U421" t="str">
        <f>+LEFT(Table1[[#This Row],[category &amp; sub-category]],FIND("/",Table1[[#This Row],[category &amp; sub-category]])-1)</f>
        <v>film &amp; video</v>
      </c>
      <c r="V421" t="str">
        <f>+RIGHT(Table1[[#This Row],[category &amp; sub-category]],LEN(Table1[[#This Row],[category &amp; sub-category]])-SEARCH("/",Table1[[#This Row],[category &amp; sub-category]]))</f>
        <v>documentary</v>
      </c>
    </row>
    <row r="422" spans="2:22" ht="15.75" customHeight="1" x14ac:dyDescent="0.25">
      <c r="B422">
        <v>419</v>
      </c>
      <c r="C422" t="s">
        <v>887</v>
      </c>
      <c r="D422" s="3" t="s">
        <v>888</v>
      </c>
      <c r="E422" s="6">
        <v>113800</v>
      </c>
      <c r="F422" s="6">
        <v>140469</v>
      </c>
      <c r="G422" s="17">
        <f>ROUND(Table1[[#This Row],[pledged]]/Table1[[#This Row],[goal]]*100,2)</f>
        <v>123.43</v>
      </c>
      <c r="H422" s="5">
        <f>+Table1[[#This Row],[pledged]]/Table1[[#This Row],[goal]]</f>
        <v>1.2343497363796134</v>
      </c>
      <c r="I422" t="s">
        <v>20</v>
      </c>
      <c r="J422">
        <v>5203</v>
      </c>
      <c r="K422" s="8">
        <f>IFERROR(Table1[[#This Row],[pledged]]/Table1[[#This Row],[backers_count]],"NA")</f>
        <v>26.997693638285604</v>
      </c>
      <c r="L422" t="s">
        <v>21</v>
      </c>
      <c r="M422" t="s">
        <v>22</v>
      </c>
      <c r="N422">
        <v>1324533600</v>
      </c>
      <c r="O422">
        <v>1325052000</v>
      </c>
      <c r="P422" s="11">
        <f>+(((Table1[[#This Row],[launched_at]]/60)/60)/24)+DATE(1970,1,1)</f>
        <v>40899.25</v>
      </c>
      <c r="Q422" s="11">
        <f>+(((Table1[[#This Row],[deadline]]/60)/60)/24)+DATE(1970,1,1)</f>
        <v>40905.25</v>
      </c>
      <c r="R422" t="b">
        <v>0</v>
      </c>
      <c r="S422" t="b">
        <v>0</v>
      </c>
      <c r="T422" t="s">
        <v>28</v>
      </c>
      <c r="U422" t="str">
        <f>+LEFT(Table1[[#This Row],[category &amp; sub-category]],FIND("/",Table1[[#This Row],[category &amp; sub-category]])-1)</f>
        <v>technology</v>
      </c>
      <c r="V422" t="str">
        <f>+RIGHT(Table1[[#This Row],[category &amp; sub-category]],LEN(Table1[[#This Row],[category &amp; sub-category]])-SEARCH("/",Table1[[#This Row],[category &amp; sub-category]]))</f>
        <v>web</v>
      </c>
    </row>
    <row r="423" spans="2:22" ht="15.75" customHeight="1" x14ac:dyDescent="0.25">
      <c r="B423">
        <v>420</v>
      </c>
      <c r="C423" t="s">
        <v>889</v>
      </c>
      <c r="D423" s="3" t="s">
        <v>890</v>
      </c>
      <c r="E423" s="6">
        <v>5000</v>
      </c>
      <c r="F423" s="6">
        <v>6423</v>
      </c>
      <c r="G423" s="17">
        <f>ROUND(Table1[[#This Row],[pledged]]/Table1[[#This Row],[goal]]*100,2)</f>
        <v>128.46</v>
      </c>
      <c r="H423" s="5">
        <f>+Table1[[#This Row],[pledged]]/Table1[[#This Row],[goal]]</f>
        <v>1.2846</v>
      </c>
      <c r="I423" t="s">
        <v>20</v>
      </c>
      <c r="J423">
        <v>94</v>
      </c>
      <c r="K423" s="8">
        <f>IFERROR(Table1[[#This Row],[pledged]]/Table1[[#This Row],[backers_count]],"NA")</f>
        <v>68.329787234042556</v>
      </c>
      <c r="L423" t="s">
        <v>21</v>
      </c>
      <c r="M423" t="s">
        <v>22</v>
      </c>
      <c r="N423">
        <v>1498366800</v>
      </c>
      <c r="O423">
        <v>1499576400</v>
      </c>
      <c r="P423" s="11">
        <f>+(((Table1[[#This Row],[launched_at]]/60)/60)/24)+DATE(1970,1,1)</f>
        <v>42911.208333333328</v>
      </c>
      <c r="Q423" s="11">
        <f>+(((Table1[[#This Row],[deadline]]/60)/60)/24)+DATE(1970,1,1)</f>
        <v>42925.208333333328</v>
      </c>
      <c r="R423" t="b">
        <v>0</v>
      </c>
      <c r="S423" t="b">
        <v>0</v>
      </c>
      <c r="T423" t="s">
        <v>33</v>
      </c>
      <c r="U423" t="str">
        <f>+LEFT(Table1[[#This Row],[category &amp; sub-category]],FIND("/",Table1[[#This Row],[category &amp; sub-category]])-1)</f>
        <v>theater</v>
      </c>
      <c r="V423" t="str">
        <f>+RIGHT(Table1[[#This Row],[category &amp; sub-category]],LEN(Table1[[#This Row],[category &amp; sub-category]])-SEARCH("/",Table1[[#This Row],[category &amp; sub-category]]))</f>
        <v>plays</v>
      </c>
    </row>
    <row r="424" spans="2:22" ht="15.75" customHeight="1" x14ac:dyDescent="0.25">
      <c r="B424">
        <v>421</v>
      </c>
      <c r="C424" t="s">
        <v>891</v>
      </c>
      <c r="D424" s="3" t="s">
        <v>892</v>
      </c>
      <c r="E424" s="6">
        <v>9400</v>
      </c>
      <c r="F424" s="6">
        <v>6015</v>
      </c>
      <c r="G424" s="17">
        <f>ROUND(Table1[[#This Row],[pledged]]/Table1[[#This Row],[goal]]*100,2)</f>
        <v>63.99</v>
      </c>
      <c r="H424" s="5">
        <f>+Table1[[#This Row],[pledged]]/Table1[[#This Row],[goal]]</f>
        <v>0.63989361702127656</v>
      </c>
      <c r="I424" t="s">
        <v>14</v>
      </c>
      <c r="J424">
        <v>118</v>
      </c>
      <c r="K424" s="8">
        <f>IFERROR(Table1[[#This Row],[pledged]]/Table1[[#This Row],[backers_count]],"NA")</f>
        <v>50.974576271186443</v>
      </c>
      <c r="L424" t="s">
        <v>21</v>
      </c>
      <c r="M424" t="s">
        <v>22</v>
      </c>
      <c r="N424">
        <v>1498712400</v>
      </c>
      <c r="O424">
        <v>1501304400</v>
      </c>
      <c r="P424" s="11">
        <f>+(((Table1[[#This Row],[launched_at]]/60)/60)/24)+DATE(1970,1,1)</f>
        <v>42915.208333333328</v>
      </c>
      <c r="Q424" s="11">
        <f>+(((Table1[[#This Row],[deadline]]/60)/60)/24)+DATE(1970,1,1)</f>
        <v>42945.208333333328</v>
      </c>
      <c r="R424" t="b">
        <v>0</v>
      </c>
      <c r="S424" t="b">
        <v>1</v>
      </c>
      <c r="T424" t="s">
        <v>65</v>
      </c>
      <c r="U424" t="str">
        <f>+LEFT(Table1[[#This Row],[category &amp; sub-category]],FIND("/",Table1[[#This Row],[category &amp; sub-category]])-1)</f>
        <v>technology</v>
      </c>
      <c r="V424" t="str">
        <f>+RIGHT(Table1[[#This Row],[category &amp; sub-category]],LEN(Table1[[#This Row],[category &amp; sub-category]])-SEARCH("/",Table1[[#This Row],[category &amp; sub-category]]))</f>
        <v>wearables</v>
      </c>
    </row>
    <row r="425" spans="2:22" ht="15.75" customHeight="1" x14ac:dyDescent="0.25">
      <c r="B425">
        <v>422</v>
      </c>
      <c r="C425" t="s">
        <v>893</v>
      </c>
      <c r="D425" s="3" t="s">
        <v>894</v>
      </c>
      <c r="E425" s="6">
        <v>8700</v>
      </c>
      <c r="F425" s="6">
        <v>11075</v>
      </c>
      <c r="G425" s="17">
        <f>ROUND(Table1[[#This Row],[pledged]]/Table1[[#This Row],[goal]]*100,2)</f>
        <v>127.3</v>
      </c>
      <c r="H425" s="5">
        <f>+Table1[[#This Row],[pledged]]/Table1[[#This Row],[goal]]</f>
        <v>1.2729885057471264</v>
      </c>
      <c r="I425" t="s">
        <v>20</v>
      </c>
      <c r="J425">
        <v>205</v>
      </c>
      <c r="K425" s="8">
        <f>IFERROR(Table1[[#This Row],[pledged]]/Table1[[#This Row],[backers_count]],"NA")</f>
        <v>54.024390243902438</v>
      </c>
      <c r="L425" t="s">
        <v>21</v>
      </c>
      <c r="M425" t="s">
        <v>22</v>
      </c>
      <c r="N425">
        <v>1271480400</v>
      </c>
      <c r="O425">
        <v>1273208400</v>
      </c>
      <c r="P425" s="11">
        <f>+(((Table1[[#This Row],[launched_at]]/60)/60)/24)+DATE(1970,1,1)</f>
        <v>40285.208333333336</v>
      </c>
      <c r="Q425" s="11">
        <f>+(((Table1[[#This Row],[deadline]]/60)/60)/24)+DATE(1970,1,1)</f>
        <v>40305.208333333336</v>
      </c>
      <c r="R425" t="b">
        <v>0</v>
      </c>
      <c r="S425" t="b">
        <v>1</v>
      </c>
      <c r="T425" t="s">
        <v>33</v>
      </c>
      <c r="U425" t="str">
        <f>+LEFT(Table1[[#This Row],[category &amp; sub-category]],FIND("/",Table1[[#This Row],[category &amp; sub-category]])-1)</f>
        <v>theater</v>
      </c>
      <c r="V425" t="str">
        <f>+RIGHT(Table1[[#This Row],[category &amp; sub-category]],LEN(Table1[[#This Row],[category &amp; sub-category]])-SEARCH("/",Table1[[#This Row],[category &amp; sub-category]]))</f>
        <v>plays</v>
      </c>
    </row>
    <row r="426" spans="2:22" ht="15.75" customHeight="1" x14ac:dyDescent="0.25">
      <c r="B426">
        <v>423</v>
      </c>
      <c r="C426" t="s">
        <v>895</v>
      </c>
      <c r="D426" s="3" t="s">
        <v>896</v>
      </c>
      <c r="E426" s="6">
        <v>147800</v>
      </c>
      <c r="F426" s="6">
        <v>15723</v>
      </c>
      <c r="G426" s="17">
        <f>ROUND(Table1[[#This Row],[pledged]]/Table1[[#This Row],[goal]]*100,2)</f>
        <v>10.64</v>
      </c>
      <c r="H426" s="5">
        <f>+Table1[[#This Row],[pledged]]/Table1[[#This Row],[goal]]</f>
        <v>0.10638024357239513</v>
      </c>
      <c r="I426" t="s">
        <v>14</v>
      </c>
      <c r="J426">
        <v>162</v>
      </c>
      <c r="K426" s="8">
        <f>IFERROR(Table1[[#This Row],[pledged]]/Table1[[#This Row],[backers_count]],"NA")</f>
        <v>97.055555555555557</v>
      </c>
      <c r="L426" t="s">
        <v>21</v>
      </c>
      <c r="M426" t="s">
        <v>22</v>
      </c>
      <c r="N426">
        <v>1316667600</v>
      </c>
      <c r="O426">
        <v>1316840400</v>
      </c>
      <c r="P426" s="11">
        <f>+(((Table1[[#This Row],[launched_at]]/60)/60)/24)+DATE(1970,1,1)</f>
        <v>40808.208333333336</v>
      </c>
      <c r="Q426" s="11">
        <f>+(((Table1[[#This Row],[deadline]]/60)/60)/24)+DATE(1970,1,1)</f>
        <v>40810.208333333336</v>
      </c>
      <c r="R426" t="b">
        <v>0</v>
      </c>
      <c r="S426" t="b">
        <v>1</v>
      </c>
      <c r="T426" t="s">
        <v>17</v>
      </c>
      <c r="U426" t="str">
        <f>+LEFT(Table1[[#This Row],[category &amp; sub-category]],FIND("/",Table1[[#This Row],[category &amp; sub-category]])-1)</f>
        <v>food</v>
      </c>
      <c r="V426" t="str">
        <f>+RIGHT(Table1[[#This Row],[category &amp; sub-category]],LEN(Table1[[#This Row],[category &amp; sub-category]])-SEARCH("/",Table1[[#This Row],[category &amp; sub-category]]))</f>
        <v>food trucks</v>
      </c>
    </row>
    <row r="427" spans="2:22" ht="15.75" customHeight="1" x14ac:dyDescent="0.25">
      <c r="B427">
        <v>424</v>
      </c>
      <c r="C427" t="s">
        <v>897</v>
      </c>
      <c r="D427" s="3" t="s">
        <v>898</v>
      </c>
      <c r="E427" s="6">
        <v>5100</v>
      </c>
      <c r="F427" s="6">
        <v>2064</v>
      </c>
      <c r="G427" s="17">
        <f>ROUND(Table1[[#This Row],[pledged]]/Table1[[#This Row],[goal]]*100,2)</f>
        <v>40.47</v>
      </c>
      <c r="H427" s="5">
        <f>+Table1[[#This Row],[pledged]]/Table1[[#This Row],[goal]]</f>
        <v>0.40470588235294119</v>
      </c>
      <c r="I427" t="s">
        <v>14</v>
      </c>
      <c r="J427">
        <v>83</v>
      </c>
      <c r="K427" s="8">
        <f>IFERROR(Table1[[#This Row],[pledged]]/Table1[[#This Row],[backers_count]],"NA")</f>
        <v>24.867469879518072</v>
      </c>
      <c r="L427" t="s">
        <v>21</v>
      </c>
      <c r="M427" t="s">
        <v>22</v>
      </c>
      <c r="N427">
        <v>1524027600</v>
      </c>
      <c r="O427">
        <v>1524546000</v>
      </c>
      <c r="P427" s="11">
        <f>+(((Table1[[#This Row],[launched_at]]/60)/60)/24)+DATE(1970,1,1)</f>
        <v>43208.208333333328</v>
      </c>
      <c r="Q427" s="11">
        <f>+(((Table1[[#This Row],[deadline]]/60)/60)/24)+DATE(1970,1,1)</f>
        <v>43214.208333333328</v>
      </c>
      <c r="R427" t="b">
        <v>0</v>
      </c>
      <c r="S427" t="b">
        <v>0</v>
      </c>
      <c r="T427" t="s">
        <v>60</v>
      </c>
      <c r="U427" t="str">
        <f>+LEFT(Table1[[#This Row],[category &amp; sub-category]],FIND("/",Table1[[#This Row],[category &amp; sub-category]])-1)</f>
        <v>music</v>
      </c>
      <c r="V427" t="str">
        <f>+RIGHT(Table1[[#This Row],[category &amp; sub-category]],LEN(Table1[[#This Row],[category &amp; sub-category]])-SEARCH("/",Table1[[#This Row],[category &amp; sub-category]]))</f>
        <v>indie rock</v>
      </c>
    </row>
    <row r="428" spans="2:22" ht="15.75" customHeight="1" x14ac:dyDescent="0.25">
      <c r="B428">
        <v>425</v>
      </c>
      <c r="C428" t="s">
        <v>899</v>
      </c>
      <c r="D428" s="3" t="s">
        <v>900</v>
      </c>
      <c r="E428" s="6">
        <v>2700</v>
      </c>
      <c r="F428" s="6">
        <v>7767</v>
      </c>
      <c r="G428" s="17">
        <f>ROUND(Table1[[#This Row],[pledged]]/Table1[[#This Row],[goal]]*100,2)</f>
        <v>287.67</v>
      </c>
      <c r="H428" s="5">
        <f>+Table1[[#This Row],[pledged]]/Table1[[#This Row],[goal]]</f>
        <v>2.8766666666666665</v>
      </c>
      <c r="I428" t="s">
        <v>20</v>
      </c>
      <c r="J428">
        <v>92</v>
      </c>
      <c r="K428" s="8">
        <f>IFERROR(Table1[[#This Row],[pledged]]/Table1[[#This Row],[backers_count]],"NA")</f>
        <v>84.423913043478265</v>
      </c>
      <c r="L428" t="s">
        <v>21</v>
      </c>
      <c r="M428" t="s">
        <v>22</v>
      </c>
      <c r="N428">
        <v>1438059600</v>
      </c>
      <c r="O428">
        <v>1438578000</v>
      </c>
      <c r="P428" s="11">
        <f>+(((Table1[[#This Row],[launched_at]]/60)/60)/24)+DATE(1970,1,1)</f>
        <v>42213.208333333328</v>
      </c>
      <c r="Q428" s="11">
        <f>+(((Table1[[#This Row],[deadline]]/60)/60)/24)+DATE(1970,1,1)</f>
        <v>42219.208333333328</v>
      </c>
      <c r="R428" t="b">
        <v>0</v>
      </c>
      <c r="S428" t="b">
        <v>0</v>
      </c>
      <c r="T428" t="s">
        <v>122</v>
      </c>
      <c r="U428" t="str">
        <f>+LEFT(Table1[[#This Row],[category &amp; sub-category]],FIND("/",Table1[[#This Row],[category &amp; sub-category]])-1)</f>
        <v>photography</v>
      </c>
      <c r="V428" t="str">
        <f>+RIGHT(Table1[[#This Row],[category &amp; sub-category]],LEN(Table1[[#This Row],[category &amp; sub-category]])-SEARCH("/",Table1[[#This Row],[category &amp; sub-category]]))</f>
        <v>photography books</v>
      </c>
    </row>
    <row r="429" spans="2:22" ht="15.75" customHeight="1" x14ac:dyDescent="0.25">
      <c r="B429">
        <v>426</v>
      </c>
      <c r="C429" t="s">
        <v>901</v>
      </c>
      <c r="D429" s="3" t="s">
        <v>902</v>
      </c>
      <c r="E429" s="6">
        <v>1800</v>
      </c>
      <c r="F429" s="6">
        <v>10313</v>
      </c>
      <c r="G429" s="17">
        <f>ROUND(Table1[[#This Row],[pledged]]/Table1[[#This Row],[goal]]*100,2)</f>
        <v>572.94000000000005</v>
      </c>
      <c r="H429" s="5">
        <f>+Table1[[#This Row],[pledged]]/Table1[[#This Row],[goal]]</f>
        <v>5.7294444444444448</v>
      </c>
      <c r="I429" t="s">
        <v>20</v>
      </c>
      <c r="J429">
        <v>219</v>
      </c>
      <c r="K429" s="8">
        <f>IFERROR(Table1[[#This Row],[pledged]]/Table1[[#This Row],[backers_count]],"NA")</f>
        <v>47.091324200913242</v>
      </c>
      <c r="L429" t="s">
        <v>21</v>
      </c>
      <c r="M429" t="s">
        <v>22</v>
      </c>
      <c r="N429">
        <v>1361944800</v>
      </c>
      <c r="O429">
        <v>1362549600</v>
      </c>
      <c r="P429" s="11">
        <f>+(((Table1[[#This Row],[launched_at]]/60)/60)/24)+DATE(1970,1,1)</f>
        <v>41332.25</v>
      </c>
      <c r="Q429" s="11">
        <f>+(((Table1[[#This Row],[deadline]]/60)/60)/24)+DATE(1970,1,1)</f>
        <v>41339.25</v>
      </c>
      <c r="R429" t="b">
        <v>0</v>
      </c>
      <c r="S429" t="b">
        <v>0</v>
      </c>
      <c r="T429" t="s">
        <v>33</v>
      </c>
      <c r="U429" t="str">
        <f>+LEFT(Table1[[#This Row],[category &amp; sub-category]],FIND("/",Table1[[#This Row],[category &amp; sub-category]])-1)</f>
        <v>theater</v>
      </c>
      <c r="V429" t="str">
        <f>+RIGHT(Table1[[#This Row],[category &amp; sub-category]],LEN(Table1[[#This Row],[category &amp; sub-category]])-SEARCH("/",Table1[[#This Row],[category &amp; sub-category]]))</f>
        <v>plays</v>
      </c>
    </row>
    <row r="430" spans="2:22" ht="15.75" customHeight="1" x14ac:dyDescent="0.25">
      <c r="B430">
        <v>427</v>
      </c>
      <c r="C430" t="s">
        <v>903</v>
      </c>
      <c r="D430" s="3" t="s">
        <v>904</v>
      </c>
      <c r="E430" s="6">
        <v>174500</v>
      </c>
      <c r="F430" s="6">
        <v>197018</v>
      </c>
      <c r="G430" s="17">
        <f>ROUND(Table1[[#This Row],[pledged]]/Table1[[#This Row],[goal]]*100,2)</f>
        <v>112.9</v>
      </c>
      <c r="H430" s="5">
        <f>+Table1[[#This Row],[pledged]]/Table1[[#This Row],[goal]]</f>
        <v>1.1290429799426933</v>
      </c>
      <c r="I430" t="s">
        <v>20</v>
      </c>
      <c r="J430">
        <v>2526</v>
      </c>
      <c r="K430" s="8">
        <f>IFERROR(Table1[[#This Row],[pledged]]/Table1[[#This Row],[backers_count]],"NA")</f>
        <v>77.996041171813147</v>
      </c>
      <c r="L430" t="s">
        <v>21</v>
      </c>
      <c r="M430" t="s">
        <v>22</v>
      </c>
      <c r="N430">
        <v>1410584400</v>
      </c>
      <c r="O430">
        <v>1413349200</v>
      </c>
      <c r="P430" s="11">
        <f>+(((Table1[[#This Row],[launched_at]]/60)/60)/24)+DATE(1970,1,1)</f>
        <v>41895.208333333336</v>
      </c>
      <c r="Q430" s="11">
        <f>+(((Table1[[#This Row],[deadline]]/60)/60)/24)+DATE(1970,1,1)</f>
        <v>41927.208333333336</v>
      </c>
      <c r="R430" t="b">
        <v>0</v>
      </c>
      <c r="S430" t="b">
        <v>1</v>
      </c>
      <c r="T430" t="s">
        <v>33</v>
      </c>
      <c r="U430" t="str">
        <f>+LEFT(Table1[[#This Row],[category &amp; sub-category]],FIND("/",Table1[[#This Row],[category &amp; sub-category]])-1)</f>
        <v>theater</v>
      </c>
      <c r="V430" t="str">
        <f>+RIGHT(Table1[[#This Row],[category &amp; sub-category]],LEN(Table1[[#This Row],[category &amp; sub-category]])-SEARCH("/",Table1[[#This Row],[category &amp; sub-category]]))</f>
        <v>plays</v>
      </c>
    </row>
    <row r="431" spans="2:22" ht="15.75" customHeight="1" x14ac:dyDescent="0.25">
      <c r="B431">
        <v>428</v>
      </c>
      <c r="C431" t="s">
        <v>905</v>
      </c>
      <c r="D431" s="3" t="s">
        <v>906</v>
      </c>
      <c r="E431" s="6">
        <v>101400</v>
      </c>
      <c r="F431" s="6">
        <v>47037</v>
      </c>
      <c r="G431" s="17">
        <f>ROUND(Table1[[#This Row],[pledged]]/Table1[[#This Row],[goal]]*100,2)</f>
        <v>46.39</v>
      </c>
      <c r="H431" s="5">
        <f>+Table1[[#This Row],[pledged]]/Table1[[#This Row],[goal]]</f>
        <v>0.46387573964497042</v>
      </c>
      <c r="I431" t="s">
        <v>14</v>
      </c>
      <c r="J431">
        <v>747</v>
      </c>
      <c r="K431" s="8">
        <f>IFERROR(Table1[[#This Row],[pledged]]/Table1[[#This Row],[backers_count]],"NA")</f>
        <v>62.967871485943775</v>
      </c>
      <c r="L431" t="s">
        <v>21</v>
      </c>
      <c r="M431" t="s">
        <v>22</v>
      </c>
      <c r="N431">
        <v>1297404000</v>
      </c>
      <c r="O431">
        <v>1298008800</v>
      </c>
      <c r="P431" s="11">
        <f>+(((Table1[[#This Row],[launched_at]]/60)/60)/24)+DATE(1970,1,1)</f>
        <v>40585.25</v>
      </c>
      <c r="Q431" s="11">
        <f>+(((Table1[[#This Row],[deadline]]/60)/60)/24)+DATE(1970,1,1)</f>
        <v>40592.25</v>
      </c>
      <c r="R431" t="b">
        <v>0</v>
      </c>
      <c r="S431" t="b">
        <v>0</v>
      </c>
      <c r="T431" t="s">
        <v>71</v>
      </c>
      <c r="U431" t="str">
        <f>+LEFT(Table1[[#This Row],[category &amp; sub-category]],FIND("/",Table1[[#This Row],[category &amp; sub-category]])-1)</f>
        <v>film &amp; video</v>
      </c>
      <c r="V431" t="str">
        <f>+RIGHT(Table1[[#This Row],[category &amp; sub-category]],LEN(Table1[[#This Row],[category &amp; sub-category]])-SEARCH("/",Table1[[#This Row],[category &amp; sub-category]]))</f>
        <v>animation</v>
      </c>
    </row>
    <row r="432" spans="2:22" ht="15.75" customHeight="1" x14ac:dyDescent="0.25">
      <c r="B432">
        <v>429</v>
      </c>
      <c r="C432" t="s">
        <v>907</v>
      </c>
      <c r="D432" s="3" t="s">
        <v>908</v>
      </c>
      <c r="E432" s="6">
        <v>191000</v>
      </c>
      <c r="F432" s="6">
        <v>173191</v>
      </c>
      <c r="G432" s="17">
        <f>ROUND(Table1[[#This Row],[pledged]]/Table1[[#This Row],[goal]]*100,2)</f>
        <v>90.68</v>
      </c>
      <c r="H432" s="5">
        <f>+Table1[[#This Row],[pledged]]/Table1[[#This Row],[goal]]</f>
        <v>0.90675916230366493</v>
      </c>
      <c r="I432" t="s">
        <v>74</v>
      </c>
      <c r="J432">
        <v>2138</v>
      </c>
      <c r="K432" s="8">
        <f>IFERROR(Table1[[#This Row],[pledged]]/Table1[[#This Row],[backers_count]],"NA")</f>
        <v>81.006080449017773</v>
      </c>
      <c r="L432" t="s">
        <v>21</v>
      </c>
      <c r="M432" t="s">
        <v>22</v>
      </c>
      <c r="N432">
        <v>1392012000</v>
      </c>
      <c r="O432">
        <v>1394427600</v>
      </c>
      <c r="P432" s="11">
        <f>+(((Table1[[#This Row],[launched_at]]/60)/60)/24)+DATE(1970,1,1)</f>
        <v>41680.25</v>
      </c>
      <c r="Q432" s="11">
        <f>+(((Table1[[#This Row],[deadline]]/60)/60)/24)+DATE(1970,1,1)</f>
        <v>41708.208333333336</v>
      </c>
      <c r="R432" t="b">
        <v>0</v>
      </c>
      <c r="S432" t="b">
        <v>1</v>
      </c>
      <c r="T432" t="s">
        <v>122</v>
      </c>
      <c r="U432" t="str">
        <f>+LEFT(Table1[[#This Row],[category &amp; sub-category]],FIND("/",Table1[[#This Row],[category &amp; sub-category]])-1)</f>
        <v>photography</v>
      </c>
      <c r="V432" t="str">
        <f>+RIGHT(Table1[[#This Row],[category &amp; sub-category]],LEN(Table1[[#This Row],[category &amp; sub-category]])-SEARCH("/",Table1[[#This Row],[category &amp; sub-category]]))</f>
        <v>photography books</v>
      </c>
    </row>
    <row r="433" spans="2:22" ht="15.75" customHeight="1" x14ac:dyDescent="0.25">
      <c r="B433">
        <v>430</v>
      </c>
      <c r="C433" t="s">
        <v>909</v>
      </c>
      <c r="D433" s="3" t="s">
        <v>910</v>
      </c>
      <c r="E433" s="6">
        <v>8100</v>
      </c>
      <c r="F433" s="6">
        <v>5487</v>
      </c>
      <c r="G433" s="17">
        <f>ROUND(Table1[[#This Row],[pledged]]/Table1[[#This Row],[goal]]*100,2)</f>
        <v>67.739999999999995</v>
      </c>
      <c r="H433" s="5">
        <f>+Table1[[#This Row],[pledged]]/Table1[[#This Row],[goal]]</f>
        <v>0.67740740740740746</v>
      </c>
      <c r="I433" t="s">
        <v>14</v>
      </c>
      <c r="J433">
        <v>84</v>
      </c>
      <c r="K433" s="8">
        <f>IFERROR(Table1[[#This Row],[pledged]]/Table1[[#This Row],[backers_count]],"NA")</f>
        <v>65.321428571428569</v>
      </c>
      <c r="L433" t="s">
        <v>21</v>
      </c>
      <c r="M433" t="s">
        <v>22</v>
      </c>
      <c r="N433">
        <v>1569733200</v>
      </c>
      <c r="O433">
        <v>1572670800</v>
      </c>
      <c r="P433" s="11">
        <f>+(((Table1[[#This Row],[launched_at]]/60)/60)/24)+DATE(1970,1,1)</f>
        <v>43737.208333333328</v>
      </c>
      <c r="Q433" s="11">
        <f>+(((Table1[[#This Row],[deadline]]/60)/60)/24)+DATE(1970,1,1)</f>
        <v>43771.208333333328</v>
      </c>
      <c r="R433" t="b">
        <v>0</v>
      </c>
      <c r="S433" t="b">
        <v>0</v>
      </c>
      <c r="T433" t="s">
        <v>33</v>
      </c>
      <c r="U433" t="str">
        <f>+LEFT(Table1[[#This Row],[category &amp; sub-category]],FIND("/",Table1[[#This Row],[category &amp; sub-category]])-1)</f>
        <v>theater</v>
      </c>
      <c r="V433" t="str">
        <f>+RIGHT(Table1[[#This Row],[category &amp; sub-category]],LEN(Table1[[#This Row],[category &amp; sub-category]])-SEARCH("/",Table1[[#This Row],[category &amp; sub-category]]))</f>
        <v>plays</v>
      </c>
    </row>
    <row r="434" spans="2:22" ht="15.75" customHeight="1" x14ac:dyDescent="0.25">
      <c r="B434">
        <v>431</v>
      </c>
      <c r="C434" t="s">
        <v>911</v>
      </c>
      <c r="D434" s="3" t="s">
        <v>912</v>
      </c>
      <c r="E434" s="6">
        <v>5100</v>
      </c>
      <c r="F434" s="6">
        <v>9817</v>
      </c>
      <c r="G434" s="17">
        <f>ROUND(Table1[[#This Row],[pledged]]/Table1[[#This Row],[goal]]*100,2)</f>
        <v>192.49</v>
      </c>
      <c r="H434" s="5">
        <f>+Table1[[#This Row],[pledged]]/Table1[[#This Row],[goal]]</f>
        <v>1.9249019607843136</v>
      </c>
      <c r="I434" t="s">
        <v>20</v>
      </c>
      <c r="J434">
        <v>94</v>
      </c>
      <c r="K434" s="8">
        <f>IFERROR(Table1[[#This Row],[pledged]]/Table1[[#This Row],[backers_count]],"NA")</f>
        <v>104.43617021276596</v>
      </c>
      <c r="L434" t="s">
        <v>21</v>
      </c>
      <c r="M434" t="s">
        <v>22</v>
      </c>
      <c r="N434">
        <v>1529643600</v>
      </c>
      <c r="O434">
        <v>1531112400</v>
      </c>
      <c r="P434" s="11">
        <f>+(((Table1[[#This Row],[launched_at]]/60)/60)/24)+DATE(1970,1,1)</f>
        <v>43273.208333333328</v>
      </c>
      <c r="Q434" s="11">
        <f>+(((Table1[[#This Row],[deadline]]/60)/60)/24)+DATE(1970,1,1)</f>
        <v>43290.208333333328</v>
      </c>
      <c r="R434" t="b">
        <v>1</v>
      </c>
      <c r="S434" t="b">
        <v>0</v>
      </c>
      <c r="T434" t="s">
        <v>33</v>
      </c>
      <c r="U434" t="str">
        <f>+LEFT(Table1[[#This Row],[category &amp; sub-category]],FIND("/",Table1[[#This Row],[category &amp; sub-category]])-1)</f>
        <v>theater</v>
      </c>
      <c r="V434" t="str">
        <f>+RIGHT(Table1[[#This Row],[category &amp; sub-category]],LEN(Table1[[#This Row],[category &amp; sub-category]])-SEARCH("/",Table1[[#This Row],[category &amp; sub-category]]))</f>
        <v>plays</v>
      </c>
    </row>
    <row r="435" spans="2:22" ht="15.75" customHeight="1" x14ac:dyDescent="0.25">
      <c r="B435">
        <v>432</v>
      </c>
      <c r="C435" t="s">
        <v>913</v>
      </c>
      <c r="D435" s="3" t="s">
        <v>914</v>
      </c>
      <c r="E435" s="6">
        <v>7700</v>
      </c>
      <c r="F435" s="6">
        <v>6369</v>
      </c>
      <c r="G435" s="17">
        <f>ROUND(Table1[[#This Row],[pledged]]/Table1[[#This Row],[goal]]*100,2)</f>
        <v>82.71</v>
      </c>
      <c r="H435" s="5">
        <f>+Table1[[#This Row],[pledged]]/Table1[[#This Row],[goal]]</f>
        <v>0.82714285714285718</v>
      </c>
      <c r="I435" t="s">
        <v>14</v>
      </c>
      <c r="J435">
        <v>91</v>
      </c>
      <c r="K435" s="8">
        <f>IFERROR(Table1[[#This Row],[pledged]]/Table1[[#This Row],[backers_count]],"NA")</f>
        <v>69.989010989010993</v>
      </c>
      <c r="L435" t="s">
        <v>21</v>
      </c>
      <c r="M435" t="s">
        <v>22</v>
      </c>
      <c r="N435">
        <v>1399006800</v>
      </c>
      <c r="O435">
        <v>1400734800</v>
      </c>
      <c r="P435" s="11">
        <f>+(((Table1[[#This Row],[launched_at]]/60)/60)/24)+DATE(1970,1,1)</f>
        <v>41761.208333333336</v>
      </c>
      <c r="Q435" s="11">
        <f>+(((Table1[[#This Row],[deadline]]/60)/60)/24)+DATE(1970,1,1)</f>
        <v>41781.208333333336</v>
      </c>
      <c r="R435" t="b">
        <v>0</v>
      </c>
      <c r="S435" t="b">
        <v>0</v>
      </c>
      <c r="T435" t="s">
        <v>33</v>
      </c>
      <c r="U435" t="str">
        <f>+LEFT(Table1[[#This Row],[category &amp; sub-category]],FIND("/",Table1[[#This Row],[category &amp; sub-category]])-1)</f>
        <v>theater</v>
      </c>
      <c r="V435" t="str">
        <f>+RIGHT(Table1[[#This Row],[category &amp; sub-category]],LEN(Table1[[#This Row],[category &amp; sub-category]])-SEARCH("/",Table1[[#This Row],[category &amp; sub-category]]))</f>
        <v>plays</v>
      </c>
    </row>
    <row r="436" spans="2:22" ht="15.75" customHeight="1" x14ac:dyDescent="0.25">
      <c r="B436">
        <v>433</v>
      </c>
      <c r="C436" t="s">
        <v>915</v>
      </c>
      <c r="D436" s="3" t="s">
        <v>916</v>
      </c>
      <c r="E436" s="6">
        <v>121400</v>
      </c>
      <c r="F436" s="6">
        <v>65755</v>
      </c>
      <c r="G436" s="17">
        <f>ROUND(Table1[[#This Row],[pledged]]/Table1[[#This Row],[goal]]*100,2)</f>
        <v>54.16</v>
      </c>
      <c r="H436" s="5">
        <f>+Table1[[#This Row],[pledged]]/Table1[[#This Row],[goal]]</f>
        <v>0.54163920922570019</v>
      </c>
      <c r="I436" t="s">
        <v>14</v>
      </c>
      <c r="J436">
        <v>792</v>
      </c>
      <c r="K436" s="8">
        <f>IFERROR(Table1[[#This Row],[pledged]]/Table1[[#This Row],[backers_count]],"NA")</f>
        <v>83.023989898989896</v>
      </c>
      <c r="L436" t="s">
        <v>21</v>
      </c>
      <c r="M436" t="s">
        <v>22</v>
      </c>
      <c r="N436">
        <v>1385359200</v>
      </c>
      <c r="O436">
        <v>1386741600</v>
      </c>
      <c r="P436" s="11">
        <f>+(((Table1[[#This Row],[launched_at]]/60)/60)/24)+DATE(1970,1,1)</f>
        <v>41603.25</v>
      </c>
      <c r="Q436" s="11">
        <f>+(((Table1[[#This Row],[deadline]]/60)/60)/24)+DATE(1970,1,1)</f>
        <v>41619.25</v>
      </c>
      <c r="R436" t="b">
        <v>0</v>
      </c>
      <c r="S436" t="b">
        <v>1</v>
      </c>
      <c r="T436" t="s">
        <v>42</v>
      </c>
      <c r="U436" t="str">
        <f>+LEFT(Table1[[#This Row],[category &amp; sub-category]],FIND("/",Table1[[#This Row],[category &amp; sub-category]])-1)</f>
        <v>film &amp; video</v>
      </c>
      <c r="V436" t="str">
        <f>+RIGHT(Table1[[#This Row],[category &amp; sub-category]],LEN(Table1[[#This Row],[category &amp; sub-category]])-SEARCH("/",Table1[[#This Row],[category &amp; sub-category]]))</f>
        <v>documentary</v>
      </c>
    </row>
    <row r="437" spans="2:22" ht="15.75" customHeight="1" x14ac:dyDescent="0.25">
      <c r="B437">
        <v>434</v>
      </c>
      <c r="C437" t="s">
        <v>917</v>
      </c>
      <c r="D437" s="3" t="s">
        <v>918</v>
      </c>
      <c r="E437" s="6">
        <v>5400</v>
      </c>
      <c r="F437" s="6">
        <v>903</v>
      </c>
      <c r="G437" s="17">
        <f>ROUND(Table1[[#This Row],[pledged]]/Table1[[#This Row],[goal]]*100,2)</f>
        <v>16.72</v>
      </c>
      <c r="H437" s="5">
        <f>+Table1[[#This Row],[pledged]]/Table1[[#This Row],[goal]]</f>
        <v>0.16722222222222222</v>
      </c>
      <c r="I437" t="s">
        <v>74</v>
      </c>
      <c r="J437">
        <v>10</v>
      </c>
      <c r="K437" s="8">
        <f>IFERROR(Table1[[#This Row],[pledged]]/Table1[[#This Row],[backers_count]],"NA")</f>
        <v>90.3</v>
      </c>
      <c r="L437" t="s">
        <v>15</v>
      </c>
      <c r="M437" t="s">
        <v>16</v>
      </c>
      <c r="N437">
        <v>1480572000</v>
      </c>
      <c r="O437">
        <v>1481781600</v>
      </c>
      <c r="P437" s="11">
        <f>+(((Table1[[#This Row],[launched_at]]/60)/60)/24)+DATE(1970,1,1)</f>
        <v>42705.25</v>
      </c>
      <c r="Q437" s="11">
        <f>+(((Table1[[#This Row],[deadline]]/60)/60)/24)+DATE(1970,1,1)</f>
        <v>42719.25</v>
      </c>
      <c r="R437" t="b">
        <v>1</v>
      </c>
      <c r="S437" t="b">
        <v>0</v>
      </c>
      <c r="T437" t="s">
        <v>33</v>
      </c>
      <c r="U437" t="str">
        <f>+LEFT(Table1[[#This Row],[category &amp; sub-category]],FIND("/",Table1[[#This Row],[category &amp; sub-category]])-1)</f>
        <v>theater</v>
      </c>
      <c r="V437" t="str">
        <f>+RIGHT(Table1[[#This Row],[category &amp; sub-category]],LEN(Table1[[#This Row],[category &amp; sub-category]])-SEARCH("/",Table1[[#This Row],[category &amp; sub-category]]))</f>
        <v>plays</v>
      </c>
    </row>
    <row r="438" spans="2:22" ht="15.75" customHeight="1" x14ac:dyDescent="0.25">
      <c r="B438">
        <v>435</v>
      </c>
      <c r="C438" t="s">
        <v>919</v>
      </c>
      <c r="D438" s="3" t="s">
        <v>920</v>
      </c>
      <c r="E438" s="6">
        <v>152400</v>
      </c>
      <c r="F438" s="6">
        <v>178120</v>
      </c>
      <c r="G438" s="17">
        <f>ROUND(Table1[[#This Row],[pledged]]/Table1[[#This Row],[goal]]*100,2)</f>
        <v>116.88</v>
      </c>
      <c r="H438" s="5">
        <f>+Table1[[#This Row],[pledged]]/Table1[[#This Row],[goal]]</f>
        <v>1.168766404199475</v>
      </c>
      <c r="I438" t="s">
        <v>20</v>
      </c>
      <c r="J438">
        <v>1713</v>
      </c>
      <c r="K438" s="8">
        <f>IFERROR(Table1[[#This Row],[pledged]]/Table1[[#This Row],[backers_count]],"NA")</f>
        <v>103.98131932282546</v>
      </c>
      <c r="L438" t="s">
        <v>107</v>
      </c>
      <c r="M438" t="s">
        <v>108</v>
      </c>
      <c r="N438">
        <v>1418623200</v>
      </c>
      <c r="O438">
        <v>1419660000</v>
      </c>
      <c r="P438" s="11">
        <f>+(((Table1[[#This Row],[launched_at]]/60)/60)/24)+DATE(1970,1,1)</f>
        <v>41988.25</v>
      </c>
      <c r="Q438" s="11">
        <f>+(((Table1[[#This Row],[deadline]]/60)/60)/24)+DATE(1970,1,1)</f>
        <v>42000.25</v>
      </c>
      <c r="R438" t="b">
        <v>0</v>
      </c>
      <c r="S438" t="b">
        <v>1</v>
      </c>
      <c r="T438" t="s">
        <v>33</v>
      </c>
      <c r="U438" t="str">
        <f>+LEFT(Table1[[#This Row],[category &amp; sub-category]],FIND("/",Table1[[#This Row],[category &amp; sub-category]])-1)</f>
        <v>theater</v>
      </c>
      <c r="V438" t="str">
        <f>+RIGHT(Table1[[#This Row],[category &amp; sub-category]],LEN(Table1[[#This Row],[category &amp; sub-category]])-SEARCH("/",Table1[[#This Row],[category &amp; sub-category]]))</f>
        <v>plays</v>
      </c>
    </row>
    <row r="439" spans="2:22" ht="15.75" customHeight="1" x14ac:dyDescent="0.25">
      <c r="B439">
        <v>436</v>
      </c>
      <c r="C439" t="s">
        <v>921</v>
      </c>
      <c r="D439" s="3" t="s">
        <v>922</v>
      </c>
      <c r="E439" s="6">
        <v>1300</v>
      </c>
      <c r="F439" s="6">
        <v>13678</v>
      </c>
      <c r="G439" s="17">
        <f>ROUND(Table1[[#This Row],[pledged]]/Table1[[#This Row],[goal]]*100,2)</f>
        <v>1052.1500000000001</v>
      </c>
      <c r="H439" s="5">
        <f>+Table1[[#This Row],[pledged]]/Table1[[#This Row],[goal]]</f>
        <v>10.521538461538462</v>
      </c>
      <c r="I439" t="s">
        <v>20</v>
      </c>
      <c r="J439">
        <v>249</v>
      </c>
      <c r="K439" s="8">
        <f>IFERROR(Table1[[#This Row],[pledged]]/Table1[[#This Row],[backers_count]],"NA")</f>
        <v>54.931726907630519</v>
      </c>
      <c r="L439" t="s">
        <v>21</v>
      </c>
      <c r="M439" t="s">
        <v>22</v>
      </c>
      <c r="N439">
        <v>1555736400</v>
      </c>
      <c r="O439">
        <v>1555822800</v>
      </c>
      <c r="P439" s="11">
        <f>+(((Table1[[#This Row],[launched_at]]/60)/60)/24)+DATE(1970,1,1)</f>
        <v>43575.208333333328</v>
      </c>
      <c r="Q439" s="11">
        <f>+(((Table1[[#This Row],[deadline]]/60)/60)/24)+DATE(1970,1,1)</f>
        <v>43576.208333333328</v>
      </c>
      <c r="R439" t="b">
        <v>0</v>
      </c>
      <c r="S439" t="b">
        <v>0</v>
      </c>
      <c r="T439" t="s">
        <v>159</v>
      </c>
      <c r="U439" t="str">
        <f>+LEFT(Table1[[#This Row],[category &amp; sub-category]],FIND("/",Table1[[#This Row],[category &amp; sub-category]])-1)</f>
        <v>music</v>
      </c>
      <c r="V439" t="str">
        <f>+RIGHT(Table1[[#This Row],[category &amp; sub-category]],LEN(Table1[[#This Row],[category &amp; sub-category]])-SEARCH("/",Table1[[#This Row],[category &amp; sub-category]]))</f>
        <v>jazz</v>
      </c>
    </row>
    <row r="440" spans="2:22" ht="15.75" customHeight="1" x14ac:dyDescent="0.25">
      <c r="B440">
        <v>437</v>
      </c>
      <c r="C440" t="s">
        <v>923</v>
      </c>
      <c r="D440" s="3" t="s">
        <v>924</v>
      </c>
      <c r="E440" s="6">
        <v>8100</v>
      </c>
      <c r="F440" s="6">
        <v>9969</v>
      </c>
      <c r="G440" s="17">
        <f>ROUND(Table1[[#This Row],[pledged]]/Table1[[#This Row],[goal]]*100,2)</f>
        <v>123.07</v>
      </c>
      <c r="H440" s="5">
        <f>+Table1[[#This Row],[pledged]]/Table1[[#This Row],[goal]]</f>
        <v>1.2307407407407407</v>
      </c>
      <c r="I440" t="s">
        <v>20</v>
      </c>
      <c r="J440">
        <v>192</v>
      </c>
      <c r="K440" s="8">
        <f>IFERROR(Table1[[#This Row],[pledged]]/Table1[[#This Row],[backers_count]],"NA")</f>
        <v>51.921875</v>
      </c>
      <c r="L440" t="s">
        <v>21</v>
      </c>
      <c r="M440" t="s">
        <v>22</v>
      </c>
      <c r="N440">
        <v>1442120400</v>
      </c>
      <c r="O440">
        <v>1442379600</v>
      </c>
      <c r="P440" s="11">
        <f>+(((Table1[[#This Row],[launched_at]]/60)/60)/24)+DATE(1970,1,1)</f>
        <v>42260.208333333328</v>
      </c>
      <c r="Q440" s="11">
        <f>+(((Table1[[#This Row],[deadline]]/60)/60)/24)+DATE(1970,1,1)</f>
        <v>42263.208333333328</v>
      </c>
      <c r="R440" t="b">
        <v>0</v>
      </c>
      <c r="S440" t="b">
        <v>1</v>
      </c>
      <c r="T440" t="s">
        <v>71</v>
      </c>
      <c r="U440" t="str">
        <f>+LEFT(Table1[[#This Row],[category &amp; sub-category]],FIND("/",Table1[[#This Row],[category &amp; sub-category]])-1)</f>
        <v>film &amp; video</v>
      </c>
      <c r="V440" t="str">
        <f>+RIGHT(Table1[[#This Row],[category &amp; sub-category]],LEN(Table1[[#This Row],[category &amp; sub-category]])-SEARCH("/",Table1[[#This Row],[category &amp; sub-category]]))</f>
        <v>animation</v>
      </c>
    </row>
    <row r="441" spans="2:22" ht="15.75" customHeight="1" x14ac:dyDescent="0.25">
      <c r="B441">
        <v>438</v>
      </c>
      <c r="C441" t="s">
        <v>925</v>
      </c>
      <c r="D441" s="3" t="s">
        <v>926</v>
      </c>
      <c r="E441" s="6">
        <v>8300</v>
      </c>
      <c r="F441" s="6">
        <v>14827</v>
      </c>
      <c r="G441" s="17">
        <f>ROUND(Table1[[#This Row],[pledged]]/Table1[[#This Row],[goal]]*100,2)</f>
        <v>178.64</v>
      </c>
      <c r="H441" s="5">
        <f>+Table1[[#This Row],[pledged]]/Table1[[#This Row],[goal]]</f>
        <v>1.7863855421686747</v>
      </c>
      <c r="I441" t="s">
        <v>20</v>
      </c>
      <c r="J441">
        <v>247</v>
      </c>
      <c r="K441" s="8">
        <f>IFERROR(Table1[[#This Row],[pledged]]/Table1[[#This Row],[backers_count]],"NA")</f>
        <v>60.02834008097166</v>
      </c>
      <c r="L441" t="s">
        <v>21</v>
      </c>
      <c r="M441" t="s">
        <v>22</v>
      </c>
      <c r="N441">
        <v>1362376800</v>
      </c>
      <c r="O441">
        <v>1364965200</v>
      </c>
      <c r="P441" s="11">
        <f>+(((Table1[[#This Row],[launched_at]]/60)/60)/24)+DATE(1970,1,1)</f>
        <v>41337.25</v>
      </c>
      <c r="Q441" s="11">
        <f>+(((Table1[[#This Row],[deadline]]/60)/60)/24)+DATE(1970,1,1)</f>
        <v>41367.208333333336</v>
      </c>
      <c r="R441" t="b">
        <v>0</v>
      </c>
      <c r="S441" t="b">
        <v>0</v>
      </c>
      <c r="T441" t="s">
        <v>33</v>
      </c>
      <c r="U441" t="str">
        <f>+LEFT(Table1[[#This Row],[category &amp; sub-category]],FIND("/",Table1[[#This Row],[category &amp; sub-category]])-1)</f>
        <v>theater</v>
      </c>
      <c r="V441" t="str">
        <f>+RIGHT(Table1[[#This Row],[category &amp; sub-category]],LEN(Table1[[#This Row],[category &amp; sub-category]])-SEARCH("/",Table1[[#This Row],[category &amp; sub-category]]))</f>
        <v>plays</v>
      </c>
    </row>
    <row r="442" spans="2:22" ht="15.75" customHeight="1" x14ac:dyDescent="0.25">
      <c r="B442">
        <v>439</v>
      </c>
      <c r="C442" t="s">
        <v>927</v>
      </c>
      <c r="D442" s="3" t="s">
        <v>928</v>
      </c>
      <c r="E442" s="6">
        <v>28400</v>
      </c>
      <c r="F442" s="6">
        <v>100900</v>
      </c>
      <c r="G442" s="17">
        <f>ROUND(Table1[[#This Row],[pledged]]/Table1[[#This Row],[goal]]*100,2)</f>
        <v>355.28</v>
      </c>
      <c r="H442" s="5">
        <f>+Table1[[#This Row],[pledged]]/Table1[[#This Row],[goal]]</f>
        <v>3.5528169014084505</v>
      </c>
      <c r="I442" t="s">
        <v>20</v>
      </c>
      <c r="J442">
        <v>2293</v>
      </c>
      <c r="K442" s="8">
        <f>IFERROR(Table1[[#This Row],[pledged]]/Table1[[#This Row],[backers_count]],"NA")</f>
        <v>44.003488879197555</v>
      </c>
      <c r="L442" t="s">
        <v>21</v>
      </c>
      <c r="M442" t="s">
        <v>22</v>
      </c>
      <c r="N442">
        <v>1478408400</v>
      </c>
      <c r="O442">
        <v>1479016800</v>
      </c>
      <c r="P442" s="11">
        <f>+(((Table1[[#This Row],[launched_at]]/60)/60)/24)+DATE(1970,1,1)</f>
        <v>42680.208333333328</v>
      </c>
      <c r="Q442" s="11">
        <f>+(((Table1[[#This Row],[deadline]]/60)/60)/24)+DATE(1970,1,1)</f>
        <v>42687.25</v>
      </c>
      <c r="R442" t="b">
        <v>0</v>
      </c>
      <c r="S442" t="b">
        <v>0</v>
      </c>
      <c r="T442" t="s">
        <v>474</v>
      </c>
      <c r="U442" t="str">
        <f>+LEFT(Table1[[#This Row],[category &amp; sub-category]],FIND("/",Table1[[#This Row],[category &amp; sub-category]])-1)</f>
        <v>film &amp; video</v>
      </c>
      <c r="V442" t="str">
        <f>+RIGHT(Table1[[#This Row],[category &amp; sub-category]],LEN(Table1[[#This Row],[category &amp; sub-category]])-SEARCH("/",Table1[[#This Row],[category &amp; sub-category]]))</f>
        <v>science fiction</v>
      </c>
    </row>
    <row r="443" spans="2:22" ht="15.75" customHeight="1" x14ac:dyDescent="0.25">
      <c r="B443">
        <v>440</v>
      </c>
      <c r="C443" t="s">
        <v>929</v>
      </c>
      <c r="D443" s="3" t="s">
        <v>930</v>
      </c>
      <c r="E443" s="6">
        <v>102500</v>
      </c>
      <c r="F443" s="6">
        <v>165954</v>
      </c>
      <c r="G443" s="17">
        <f>ROUND(Table1[[#This Row],[pledged]]/Table1[[#This Row],[goal]]*100,2)</f>
        <v>161.91</v>
      </c>
      <c r="H443" s="5">
        <f>+Table1[[#This Row],[pledged]]/Table1[[#This Row],[goal]]</f>
        <v>1.6190634146341463</v>
      </c>
      <c r="I443" t="s">
        <v>20</v>
      </c>
      <c r="J443">
        <v>3131</v>
      </c>
      <c r="K443" s="8">
        <f>IFERROR(Table1[[#This Row],[pledged]]/Table1[[#This Row],[backers_count]],"NA")</f>
        <v>53.003513254551258</v>
      </c>
      <c r="L443" t="s">
        <v>21</v>
      </c>
      <c r="M443" t="s">
        <v>22</v>
      </c>
      <c r="N443">
        <v>1498798800</v>
      </c>
      <c r="O443">
        <v>1499662800</v>
      </c>
      <c r="P443" s="11">
        <f>+(((Table1[[#This Row],[launched_at]]/60)/60)/24)+DATE(1970,1,1)</f>
        <v>42916.208333333328</v>
      </c>
      <c r="Q443" s="11">
        <f>+(((Table1[[#This Row],[deadline]]/60)/60)/24)+DATE(1970,1,1)</f>
        <v>42926.208333333328</v>
      </c>
      <c r="R443" t="b">
        <v>0</v>
      </c>
      <c r="S443" t="b">
        <v>0</v>
      </c>
      <c r="T443" t="s">
        <v>269</v>
      </c>
      <c r="U443" t="str">
        <f>+LEFT(Table1[[#This Row],[category &amp; sub-category]],FIND("/",Table1[[#This Row],[category &amp; sub-category]])-1)</f>
        <v>film &amp; video</v>
      </c>
      <c r="V443" t="str">
        <f>+RIGHT(Table1[[#This Row],[category &amp; sub-category]],LEN(Table1[[#This Row],[category &amp; sub-category]])-SEARCH("/",Table1[[#This Row],[category &amp; sub-category]]))</f>
        <v>television</v>
      </c>
    </row>
    <row r="444" spans="2:22" ht="15.75" customHeight="1" x14ac:dyDescent="0.25">
      <c r="B444">
        <v>441</v>
      </c>
      <c r="C444" t="s">
        <v>931</v>
      </c>
      <c r="D444" s="3" t="s">
        <v>932</v>
      </c>
      <c r="E444" s="6">
        <v>7000</v>
      </c>
      <c r="F444" s="6">
        <v>1744</v>
      </c>
      <c r="G444" s="17">
        <f>ROUND(Table1[[#This Row],[pledged]]/Table1[[#This Row],[goal]]*100,2)</f>
        <v>24.91</v>
      </c>
      <c r="H444" s="5">
        <f>+Table1[[#This Row],[pledged]]/Table1[[#This Row],[goal]]</f>
        <v>0.24914285714285714</v>
      </c>
      <c r="I444" t="s">
        <v>14</v>
      </c>
      <c r="J444">
        <v>32</v>
      </c>
      <c r="K444" s="8">
        <f>IFERROR(Table1[[#This Row],[pledged]]/Table1[[#This Row],[backers_count]],"NA")</f>
        <v>54.5</v>
      </c>
      <c r="L444" t="s">
        <v>21</v>
      </c>
      <c r="M444" t="s">
        <v>22</v>
      </c>
      <c r="N444">
        <v>1335416400</v>
      </c>
      <c r="O444">
        <v>1337835600</v>
      </c>
      <c r="P444" s="11">
        <f>+(((Table1[[#This Row],[launched_at]]/60)/60)/24)+DATE(1970,1,1)</f>
        <v>41025.208333333336</v>
      </c>
      <c r="Q444" s="11">
        <f>+(((Table1[[#This Row],[deadline]]/60)/60)/24)+DATE(1970,1,1)</f>
        <v>41053.208333333336</v>
      </c>
      <c r="R444" t="b">
        <v>0</v>
      </c>
      <c r="S444" t="b">
        <v>0</v>
      </c>
      <c r="T444" t="s">
        <v>65</v>
      </c>
      <c r="U444" t="str">
        <f>+LEFT(Table1[[#This Row],[category &amp; sub-category]],FIND("/",Table1[[#This Row],[category &amp; sub-category]])-1)</f>
        <v>technology</v>
      </c>
      <c r="V444" t="str">
        <f>+RIGHT(Table1[[#This Row],[category &amp; sub-category]],LEN(Table1[[#This Row],[category &amp; sub-category]])-SEARCH("/",Table1[[#This Row],[category &amp; sub-category]]))</f>
        <v>wearables</v>
      </c>
    </row>
    <row r="445" spans="2:22" ht="15.75" customHeight="1" x14ac:dyDescent="0.25">
      <c r="B445">
        <v>442</v>
      </c>
      <c r="C445" t="s">
        <v>933</v>
      </c>
      <c r="D445" s="3" t="s">
        <v>934</v>
      </c>
      <c r="E445" s="6">
        <v>5400</v>
      </c>
      <c r="F445" s="6">
        <v>10731</v>
      </c>
      <c r="G445" s="17">
        <f>ROUND(Table1[[#This Row],[pledged]]/Table1[[#This Row],[goal]]*100,2)</f>
        <v>198.72</v>
      </c>
      <c r="H445" s="5">
        <f>+Table1[[#This Row],[pledged]]/Table1[[#This Row],[goal]]</f>
        <v>1.9872222222222222</v>
      </c>
      <c r="I445" t="s">
        <v>20</v>
      </c>
      <c r="J445">
        <v>143</v>
      </c>
      <c r="K445" s="8">
        <f>IFERROR(Table1[[#This Row],[pledged]]/Table1[[#This Row],[backers_count]],"NA")</f>
        <v>75.04195804195804</v>
      </c>
      <c r="L445" t="s">
        <v>107</v>
      </c>
      <c r="M445" t="s">
        <v>108</v>
      </c>
      <c r="N445">
        <v>1504328400</v>
      </c>
      <c r="O445">
        <v>1505710800</v>
      </c>
      <c r="P445" s="11">
        <f>+(((Table1[[#This Row],[launched_at]]/60)/60)/24)+DATE(1970,1,1)</f>
        <v>42980.208333333328</v>
      </c>
      <c r="Q445" s="11">
        <f>+(((Table1[[#This Row],[deadline]]/60)/60)/24)+DATE(1970,1,1)</f>
        <v>42996.208333333328</v>
      </c>
      <c r="R445" t="b">
        <v>0</v>
      </c>
      <c r="S445" t="b">
        <v>0</v>
      </c>
      <c r="T445" t="s">
        <v>33</v>
      </c>
      <c r="U445" t="str">
        <f>+LEFT(Table1[[#This Row],[category &amp; sub-category]],FIND("/",Table1[[#This Row],[category &amp; sub-category]])-1)</f>
        <v>theater</v>
      </c>
      <c r="V445" t="str">
        <f>+RIGHT(Table1[[#This Row],[category &amp; sub-category]],LEN(Table1[[#This Row],[category &amp; sub-category]])-SEARCH("/",Table1[[#This Row],[category &amp; sub-category]]))</f>
        <v>plays</v>
      </c>
    </row>
    <row r="446" spans="2:22" ht="15.75" customHeight="1" x14ac:dyDescent="0.25">
      <c r="B446">
        <v>443</v>
      </c>
      <c r="C446" t="s">
        <v>935</v>
      </c>
      <c r="D446" s="3" t="s">
        <v>936</v>
      </c>
      <c r="E446" s="6">
        <v>9300</v>
      </c>
      <c r="F446" s="6">
        <v>3232</v>
      </c>
      <c r="G446" s="17">
        <f>ROUND(Table1[[#This Row],[pledged]]/Table1[[#This Row],[goal]]*100,2)</f>
        <v>34.75</v>
      </c>
      <c r="H446" s="5">
        <f>+Table1[[#This Row],[pledged]]/Table1[[#This Row],[goal]]</f>
        <v>0.34752688172043011</v>
      </c>
      <c r="I446" t="s">
        <v>74</v>
      </c>
      <c r="J446">
        <v>90</v>
      </c>
      <c r="K446" s="8">
        <f>IFERROR(Table1[[#This Row],[pledged]]/Table1[[#This Row],[backers_count]],"NA")</f>
        <v>35.911111111111111</v>
      </c>
      <c r="L446" t="s">
        <v>21</v>
      </c>
      <c r="M446" t="s">
        <v>22</v>
      </c>
      <c r="N446">
        <v>1285822800</v>
      </c>
      <c r="O446">
        <v>1287464400</v>
      </c>
      <c r="P446" s="11">
        <f>+(((Table1[[#This Row],[launched_at]]/60)/60)/24)+DATE(1970,1,1)</f>
        <v>40451.208333333336</v>
      </c>
      <c r="Q446" s="11">
        <f>+(((Table1[[#This Row],[deadline]]/60)/60)/24)+DATE(1970,1,1)</f>
        <v>40470.208333333336</v>
      </c>
      <c r="R446" t="b">
        <v>0</v>
      </c>
      <c r="S446" t="b">
        <v>0</v>
      </c>
      <c r="T446" t="s">
        <v>33</v>
      </c>
      <c r="U446" t="str">
        <f>+LEFT(Table1[[#This Row],[category &amp; sub-category]],FIND("/",Table1[[#This Row],[category &amp; sub-category]])-1)</f>
        <v>theater</v>
      </c>
      <c r="V446" t="str">
        <f>+RIGHT(Table1[[#This Row],[category &amp; sub-category]],LEN(Table1[[#This Row],[category &amp; sub-category]])-SEARCH("/",Table1[[#This Row],[category &amp; sub-category]]))</f>
        <v>plays</v>
      </c>
    </row>
    <row r="447" spans="2:22" ht="15.75" customHeight="1" x14ac:dyDescent="0.25">
      <c r="B447">
        <v>444</v>
      </c>
      <c r="C447" t="s">
        <v>748</v>
      </c>
      <c r="D447" s="3" t="s">
        <v>937</v>
      </c>
      <c r="E447" s="6">
        <v>6200</v>
      </c>
      <c r="F447" s="6">
        <v>10938</v>
      </c>
      <c r="G447" s="17">
        <f>ROUND(Table1[[#This Row],[pledged]]/Table1[[#This Row],[goal]]*100,2)</f>
        <v>176.42</v>
      </c>
      <c r="H447" s="5">
        <f>+Table1[[#This Row],[pledged]]/Table1[[#This Row],[goal]]</f>
        <v>1.7641935483870967</v>
      </c>
      <c r="I447" t="s">
        <v>20</v>
      </c>
      <c r="J447">
        <v>296</v>
      </c>
      <c r="K447" s="8">
        <f>IFERROR(Table1[[#This Row],[pledged]]/Table1[[#This Row],[backers_count]],"NA")</f>
        <v>36.952702702702702</v>
      </c>
      <c r="L447" t="s">
        <v>21</v>
      </c>
      <c r="M447" t="s">
        <v>22</v>
      </c>
      <c r="N447">
        <v>1311483600</v>
      </c>
      <c r="O447">
        <v>1311656400</v>
      </c>
      <c r="P447" s="11">
        <f>+(((Table1[[#This Row],[launched_at]]/60)/60)/24)+DATE(1970,1,1)</f>
        <v>40748.208333333336</v>
      </c>
      <c r="Q447" s="11">
        <f>+(((Table1[[#This Row],[deadline]]/60)/60)/24)+DATE(1970,1,1)</f>
        <v>40750.208333333336</v>
      </c>
      <c r="R447" t="b">
        <v>0</v>
      </c>
      <c r="S447" t="b">
        <v>1</v>
      </c>
      <c r="T447" t="s">
        <v>60</v>
      </c>
      <c r="U447" t="str">
        <f>+LEFT(Table1[[#This Row],[category &amp; sub-category]],FIND("/",Table1[[#This Row],[category &amp; sub-category]])-1)</f>
        <v>music</v>
      </c>
      <c r="V447" t="str">
        <f>+RIGHT(Table1[[#This Row],[category &amp; sub-category]],LEN(Table1[[#This Row],[category &amp; sub-category]])-SEARCH("/",Table1[[#This Row],[category &amp; sub-category]]))</f>
        <v>indie rock</v>
      </c>
    </row>
    <row r="448" spans="2:22" ht="15.75" customHeight="1" x14ac:dyDescent="0.25">
      <c r="B448">
        <v>445</v>
      </c>
      <c r="C448" t="s">
        <v>938</v>
      </c>
      <c r="D448" s="3" t="s">
        <v>939</v>
      </c>
      <c r="E448" s="6">
        <v>2100</v>
      </c>
      <c r="F448" s="6">
        <v>10739</v>
      </c>
      <c r="G448" s="17">
        <f>ROUND(Table1[[#This Row],[pledged]]/Table1[[#This Row],[goal]]*100,2)</f>
        <v>511.38</v>
      </c>
      <c r="H448" s="5">
        <f>+Table1[[#This Row],[pledged]]/Table1[[#This Row],[goal]]</f>
        <v>5.1138095238095236</v>
      </c>
      <c r="I448" t="s">
        <v>20</v>
      </c>
      <c r="J448">
        <v>170</v>
      </c>
      <c r="K448" s="8">
        <f>IFERROR(Table1[[#This Row],[pledged]]/Table1[[#This Row],[backers_count]],"NA")</f>
        <v>63.170588235294119</v>
      </c>
      <c r="L448" t="s">
        <v>21</v>
      </c>
      <c r="M448" t="s">
        <v>22</v>
      </c>
      <c r="N448">
        <v>1291356000</v>
      </c>
      <c r="O448">
        <v>1293170400</v>
      </c>
      <c r="P448" s="11">
        <f>+(((Table1[[#This Row],[launched_at]]/60)/60)/24)+DATE(1970,1,1)</f>
        <v>40515.25</v>
      </c>
      <c r="Q448" s="11">
        <f>+(((Table1[[#This Row],[deadline]]/60)/60)/24)+DATE(1970,1,1)</f>
        <v>40536.25</v>
      </c>
      <c r="R448" t="b">
        <v>0</v>
      </c>
      <c r="S448" t="b">
        <v>1</v>
      </c>
      <c r="T448" t="s">
        <v>33</v>
      </c>
      <c r="U448" t="str">
        <f>+LEFT(Table1[[#This Row],[category &amp; sub-category]],FIND("/",Table1[[#This Row],[category &amp; sub-category]])-1)</f>
        <v>theater</v>
      </c>
      <c r="V448" t="str">
        <f>+RIGHT(Table1[[#This Row],[category &amp; sub-category]],LEN(Table1[[#This Row],[category &amp; sub-category]])-SEARCH("/",Table1[[#This Row],[category &amp; sub-category]]))</f>
        <v>plays</v>
      </c>
    </row>
    <row r="449" spans="2:22" ht="15.75" customHeight="1" x14ac:dyDescent="0.25">
      <c r="B449">
        <v>446</v>
      </c>
      <c r="C449" t="s">
        <v>940</v>
      </c>
      <c r="D449" s="3" t="s">
        <v>941</v>
      </c>
      <c r="E449" s="6">
        <v>6800</v>
      </c>
      <c r="F449" s="6">
        <v>5579</v>
      </c>
      <c r="G449" s="17">
        <f>ROUND(Table1[[#This Row],[pledged]]/Table1[[#This Row],[goal]]*100,2)</f>
        <v>82.04</v>
      </c>
      <c r="H449" s="5">
        <f>+Table1[[#This Row],[pledged]]/Table1[[#This Row],[goal]]</f>
        <v>0.82044117647058823</v>
      </c>
      <c r="I449" t="s">
        <v>14</v>
      </c>
      <c r="J449">
        <v>186</v>
      </c>
      <c r="K449" s="8">
        <f>IFERROR(Table1[[#This Row],[pledged]]/Table1[[#This Row],[backers_count]],"NA")</f>
        <v>29.99462365591398</v>
      </c>
      <c r="L449" t="s">
        <v>21</v>
      </c>
      <c r="M449" t="s">
        <v>22</v>
      </c>
      <c r="N449">
        <v>1355810400</v>
      </c>
      <c r="O449">
        <v>1355983200</v>
      </c>
      <c r="P449" s="11">
        <f>+(((Table1[[#This Row],[launched_at]]/60)/60)/24)+DATE(1970,1,1)</f>
        <v>41261.25</v>
      </c>
      <c r="Q449" s="11">
        <f>+(((Table1[[#This Row],[deadline]]/60)/60)/24)+DATE(1970,1,1)</f>
        <v>41263.25</v>
      </c>
      <c r="R449" t="b">
        <v>0</v>
      </c>
      <c r="S449" t="b">
        <v>0</v>
      </c>
      <c r="T449" t="s">
        <v>65</v>
      </c>
      <c r="U449" t="str">
        <f>+LEFT(Table1[[#This Row],[category &amp; sub-category]],FIND("/",Table1[[#This Row],[category &amp; sub-category]])-1)</f>
        <v>technology</v>
      </c>
      <c r="V449" t="str">
        <f>+RIGHT(Table1[[#This Row],[category &amp; sub-category]],LEN(Table1[[#This Row],[category &amp; sub-category]])-SEARCH("/",Table1[[#This Row],[category &amp; sub-category]]))</f>
        <v>wearables</v>
      </c>
    </row>
    <row r="450" spans="2:22" ht="15.75" customHeight="1" x14ac:dyDescent="0.25">
      <c r="B450">
        <v>447</v>
      </c>
      <c r="C450" t="s">
        <v>942</v>
      </c>
      <c r="D450" s="3" t="s">
        <v>943</v>
      </c>
      <c r="E450" s="6">
        <v>155200</v>
      </c>
      <c r="F450" s="6">
        <v>37754</v>
      </c>
      <c r="G450" s="17">
        <f>ROUND(Table1[[#This Row],[pledged]]/Table1[[#This Row],[goal]]*100,2)</f>
        <v>24.33</v>
      </c>
      <c r="H450" s="5">
        <f>+Table1[[#This Row],[pledged]]/Table1[[#This Row],[goal]]</f>
        <v>0.24326030927835052</v>
      </c>
      <c r="I450" t="s">
        <v>74</v>
      </c>
      <c r="J450">
        <v>439</v>
      </c>
      <c r="K450" s="8">
        <f>IFERROR(Table1[[#This Row],[pledged]]/Table1[[#This Row],[backers_count]],"NA")</f>
        <v>86</v>
      </c>
      <c r="L450" t="s">
        <v>40</v>
      </c>
      <c r="M450" t="s">
        <v>41</v>
      </c>
      <c r="N450">
        <v>1513663200</v>
      </c>
      <c r="O450">
        <v>1515045600</v>
      </c>
      <c r="P450" s="11">
        <f>+(((Table1[[#This Row],[launched_at]]/60)/60)/24)+DATE(1970,1,1)</f>
        <v>43088.25</v>
      </c>
      <c r="Q450" s="11">
        <f>+(((Table1[[#This Row],[deadline]]/60)/60)/24)+DATE(1970,1,1)</f>
        <v>43104.25</v>
      </c>
      <c r="R450" t="b">
        <v>0</v>
      </c>
      <c r="S450" t="b">
        <v>0</v>
      </c>
      <c r="T450" t="s">
        <v>269</v>
      </c>
      <c r="U450" t="str">
        <f>+LEFT(Table1[[#This Row],[category &amp; sub-category]],FIND("/",Table1[[#This Row],[category &amp; sub-category]])-1)</f>
        <v>film &amp; video</v>
      </c>
      <c r="V450" t="str">
        <f>+RIGHT(Table1[[#This Row],[category &amp; sub-category]],LEN(Table1[[#This Row],[category &amp; sub-category]])-SEARCH("/",Table1[[#This Row],[category &amp; sub-category]]))</f>
        <v>television</v>
      </c>
    </row>
    <row r="451" spans="2:22" ht="15.75" customHeight="1" x14ac:dyDescent="0.25">
      <c r="B451">
        <v>448</v>
      </c>
      <c r="C451" t="s">
        <v>944</v>
      </c>
      <c r="D451" s="3" t="s">
        <v>945</v>
      </c>
      <c r="E451" s="6">
        <v>89900</v>
      </c>
      <c r="F451" s="6">
        <v>45384</v>
      </c>
      <c r="G451" s="17">
        <f>ROUND(Table1[[#This Row],[pledged]]/Table1[[#This Row],[goal]]*100,2)</f>
        <v>50.48</v>
      </c>
      <c r="H451" s="5">
        <f>+Table1[[#This Row],[pledged]]/Table1[[#This Row],[goal]]</f>
        <v>0.50482758620689661</v>
      </c>
      <c r="I451" t="s">
        <v>14</v>
      </c>
      <c r="J451">
        <v>605</v>
      </c>
      <c r="K451" s="8">
        <f>IFERROR(Table1[[#This Row],[pledged]]/Table1[[#This Row],[backers_count]],"NA")</f>
        <v>75.014876033057845</v>
      </c>
      <c r="L451" t="s">
        <v>21</v>
      </c>
      <c r="M451" t="s">
        <v>22</v>
      </c>
      <c r="N451">
        <v>1365915600</v>
      </c>
      <c r="O451">
        <v>1366088400</v>
      </c>
      <c r="P451" s="11">
        <f>+(((Table1[[#This Row],[launched_at]]/60)/60)/24)+DATE(1970,1,1)</f>
        <v>41378.208333333336</v>
      </c>
      <c r="Q451" s="11">
        <f>+(((Table1[[#This Row],[deadline]]/60)/60)/24)+DATE(1970,1,1)</f>
        <v>41380.208333333336</v>
      </c>
      <c r="R451" t="b">
        <v>0</v>
      </c>
      <c r="S451" t="b">
        <v>1</v>
      </c>
      <c r="T451" t="s">
        <v>89</v>
      </c>
      <c r="U451" t="str">
        <f>+LEFT(Table1[[#This Row],[category &amp; sub-category]],FIND("/",Table1[[#This Row],[category &amp; sub-category]])-1)</f>
        <v>games</v>
      </c>
      <c r="V451" t="str">
        <f>+RIGHT(Table1[[#This Row],[category &amp; sub-category]],LEN(Table1[[#This Row],[category &amp; sub-category]])-SEARCH("/",Table1[[#This Row],[category &amp; sub-category]]))</f>
        <v>video games</v>
      </c>
    </row>
    <row r="452" spans="2:22" ht="15.75" customHeight="1" x14ac:dyDescent="0.25">
      <c r="B452">
        <v>449</v>
      </c>
      <c r="C452" t="s">
        <v>946</v>
      </c>
      <c r="D452" s="3" t="s">
        <v>947</v>
      </c>
      <c r="E452" s="6">
        <v>900</v>
      </c>
      <c r="F452" s="6">
        <v>8703</v>
      </c>
      <c r="G452" s="17">
        <f>ROUND(Table1[[#This Row],[pledged]]/Table1[[#This Row],[goal]]*100,2)</f>
        <v>967</v>
      </c>
      <c r="H452" s="5">
        <f>+Table1[[#This Row],[pledged]]/Table1[[#This Row],[goal]]</f>
        <v>9.67</v>
      </c>
      <c r="I452" t="s">
        <v>20</v>
      </c>
      <c r="J452">
        <v>86</v>
      </c>
      <c r="K452" s="8">
        <f>IFERROR(Table1[[#This Row],[pledged]]/Table1[[#This Row],[backers_count]],"NA")</f>
        <v>101.19767441860465</v>
      </c>
      <c r="L452" t="s">
        <v>36</v>
      </c>
      <c r="M452" t="s">
        <v>37</v>
      </c>
      <c r="N452">
        <v>1551852000</v>
      </c>
      <c r="O452">
        <v>1553317200</v>
      </c>
      <c r="P452" s="11">
        <f>+(((Table1[[#This Row],[launched_at]]/60)/60)/24)+DATE(1970,1,1)</f>
        <v>43530.25</v>
      </c>
      <c r="Q452" s="11">
        <f>+(((Table1[[#This Row],[deadline]]/60)/60)/24)+DATE(1970,1,1)</f>
        <v>43547.208333333328</v>
      </c>
      <c r="R452" t="b">
        <v>0</v>
      </c>
      <c r="S452" t="b">
        <v>0</v>
      </c>
      <c r="T452" t="s">
        <v>89</v>
      </c>
      <c r="U452" t="str">
        <f>+LEFT(Table1[[#This Row],[category &amp; sub-category]],FIND("/",Table1[[#This Row],[category &amp; sub-category]])-1)</f>
        <v>games</v>
      </c>
      <c r="V452" t="str">
        <f>+RIGHT(Table1[[#This Row],[category &amp; sub-category]],LEN(Table1[[#This Row],[category &amp; sub-category]])-SEARCH("/",Table1[[#This Row],[category &amp; sub-category]]))</f>
        <v>video games</v>
      </c>
    </row>
    <row r="453" spans="2:22" ht="15.75" customHeight="1" x14ac:dyDescent="0.25">
      <c r="B453">
        <v>450</v>
      </c>
      <c r="C453" t="s">
        <v>948</v>
      </c>
      <c r="D453" s="3" t="s">
        <v>949</v>
      </c>
      <c r="E453" s="6">
        <v>100</v>
      </c>
      <c r="F453" s="6">
        <v>4</v>
      </c>
      <c r="G453" s="17">
        <f>ROUND(Table1[[#This Row],[pledged]]/Table1[[#This Row],[goal]]*100,2)</f>
        <v>4</v>
      </c>
      <c r="H453" s="5">
        <f>+Table1[[#This Row],[pledged]]/Table1[[#This Row],[goal]]</f>
        <v>0.04</v>
      </c>
      <c r="I453" t="s">
        <v>14</v>
      </c>
      <c r="J453">
        <v>1</v>
      </c>
      <c r="K453" s="8">
        <f>IFERROR(Table1[[#This Row],[pledged]]/Table1[[#This Row],[backers_count]],"NA")</f>
        <v>4</v>
      </c>
      <c r="L453" t="s">
        <v>15</v>
      </c>
      <c r="M453" t="s">
        <v>16</v>
      </c>
      <c r="N453">
        <v>1540098000</v>
      </c>
      <c r="O453">
        <v>1542088800</v>
      </c>
      <c r="P453" s="11">
        <f>+(((Table1[[#This Row],[launched_at]]/60)/60)/24)+DATE(1970,1,1)</f>
        <v>43394.208333333328</v>
      </c>
      <c r="Q453" s="11">
        <f>+(((Table1[[#This Row],[deadline]]/60)/60)/24)+DATE(1970,1,1)</f>
        <v>43417.25</v>
      </c>
      <c r="R453" t="b">
        <v>0</v>
      </c>
      <c r="S453" t="b">
        <v>0</v>
      </c>
      <c r="T453" t="s">
        <v>71</v>
      </c>
      <c r="U453" t="str">
        <f>+LEFT(Table1[[#This Row],[category &amp; sub-category]],FIND("/",Table1[[#This Row],[category &amp; sub-category]])-1)</f>
        <v>film &amp; video</v>
      </c>
      <c r="V453" t="str">
        <f>+RIGHT(Table1[[#This Row],[category &amp; sub-category]],LEN(Table1[[#This Row],[category &amp; sub-category]])-SEARCH("/",Table1[[#This Row],[category &amp; sub-category]]))</f>
        <v>animation</v>
      </c>
    </row>
    <row r="454" spans="2:22" ht="15.75" customHeight="1" x14ac:dyDescent="0.25">
      <c r="B454">
        <v>451</v>
      </c>
      <c r="C454" t="s">
        <v>950</v>
      </c>
      <c r="D454" s="3" t="s">
        <v>951</v>
      </c>
      <c r="E454" s="6">
        <v>148400</v>
      </c>
      <c r="F454" s="6">
        <v>182302</v>
      </c>
      <c r="G454" s="17">
        <f>ROUND(Table1[[#This Row],[pledged]]/Table1[[#This Row],[goal]]*100,2)</f>
        <v>122.85</v>
      </c>
      <c r="H454" s="5">
        <f>+Table1[[#This Row],[pledged]]/Table1[[#This Row],[goal]]</f>
        <v>1.2284501347708894</v>
      </c>
      <c r="I454" t="s">
        <v>20</v>
      </c>
      <c r="J454">
        <v>6286</v>
      </c>
      <c r="K454" s="8">
        <f>IFERROR(Table1[[#This Row],[pledged]]/Table1[[#This Row],[backers_count]],"NA")</f>
        <v>29.001272669424118</v>
      </c>
      <c r="L454" t="s">
        <v>21</v>
      </c>
      <c r="M454" t="s">
        <v>22</v>
      </c>
      <c r="N454">
        <v>1500440400</v>
      </c>
      <c r="O454">
        <v>1503118800</v>
      </c>
      <c r="P454" s="11">
        <f>+(((Table1[[#This Row],[launched_at]]/60)/60)/24)+DATE(1970,1,1)</f>
        <v>42935.208333333328</v>
      </c>
      <c r="Q454" s="11">
        <f>+(((Table1[[#This Row],[deadline]]/60)/60)/24)+DATE(1970,1,1)</f>
        <v>42966.208333333328</v>
      </c>
      <c r="R454" t="b">
        <v>0</v>
      </c>
      <c r="S454" t="b">
        <v>0</v>
      </c>
      <c r="T454" t="s">
        <v>23</v>
      </c>
      <c r="U454" t="str">
        <f>+LEFT(Table1[[#This Row],[category &amp; sub-category]],FIND("/",Table1[[#This Row],[category &amp; sub-category]])-1)</f>
        <v>music</v>
      </c>
      <c r="V454" t="str">
        <f>+RIGHT(Table1[[#This Row],[category &amp; sub-category]],LEN(Table1[[#This Row],[category &amp; sub-category]])-SEARCH("/",Table1[[#This Row],[category &amp; sub-category]]))</f>
        <v>rock</v>
      </c>
    </row>
    <row r="455" spans="2:22" ht="15.75" customHeight="1" x14ac:dyDescent="0.25">
      <c r="B455">
        <v>452</v>
      </c>
      <c r="C455" t="s">
        <v>952</v>
      </c>
      <c r="D455" s="3" t="s">
        <v>953</v>
      </c>
      <c r="E455" s="6">
        <v>4800</v>
      </c>
      <c r="F455" s="6">
        <v>3045</v>
      </c>
      <c r="G455" s="17">
        <f>ROUND(Table1[[#This Row],[pledged]]/Table1[[#This Row],[goal]]*100,2)</f>
        <v>63.44</v>
      </c>
      <c r="H455" s="5">
        <f>+Table1[[#This Row],[pledged]]/Table1[[#This Row],[goal]]</f>
        <v>0.63437500000000002</v>
      </c>
      <c r="I455" t="s">
        <v>14</v>
      </c>
      <c r="J455">
        <v>31</v>
      </c>
      <c r="K455" s="8">
        <f>IFERROR(Table1[[#This Row],[pledged]]/Table1[[#This Row],[backers_count]],"NA")</f>
        <v>98.225806451612897</v>
      </c>
      <c r="L455" t="s">
        <v>21</v>
      </c>
      <c r="M455" t="s">
        <v>22</v>
      </c>
      <c r="N455">
        <v>1278392400</v>
      </c>
      <c r="O455">
        <v>1278478800</v>
      </c>
      <c r="P455" s="11">
        <f>+(((Table1[[#This Row],[launched_at]]/60)/60)/24)+DATE(1970,1,1)</f>
        <v>40365.208333333336</v>
      </c>
      <c r="Q455" s="11">
        <f>+(((Table1[[#This Row],[deadline]]/60)/60)/24)+DATE(1970,1,1)</f>
        <v>40366.208333333336</v>
      </c>
      <c r="R455" t="b">
        <v>0</v>
      </c>
      <c r="S455" t="b">
        <v>0</v>
      </c>
      <c r="T455" t="s">
        <v>53</v>
      </c>
      <c r="U455" t="str">
        <f>+LEFT(Table1[[#This Row],[category &amp; sub-category]],FIND("/",Table1[[#This Row],[category &amp; sub-category]])-1)</f>
        <v>film &amp; video</v>
      </c>
      <c r="V455" t="str">
        <f>+RIGHT(Table1[[#This Row],[category &amp; sub-category]],LEN(Table1[[#This Row],[category &amp; sub-category]])-SEARCH("/",Table1[[#This Row],[category &amp; sub-category]]))</f>
        <v>drama</v>
      </c>
    </row>
    <row r="456" spans="2:22" ht="15.75" customHeight="1" x14ac:dyDescent="0.25">
      <c r="B456">
        <v>453</v>
      </c>
      <c r="C456" t="s">
        <v>954</v>
      </c>
      <c r="D456" s="3" t="s">
        <v>955</v>
      </c>
      <c r="E456" s="6">
        <v>182400</v>
      </c>
      <c r="F456" s="6">
        <v>102749</v>
      </c>
      <c r="G456" s="17">
        <f>ROUND(Table1[[#This Row],[pledged]]/Table1[[#This Row],[goal]]*100,2)</f>
        <v>56.33</v>
      </c>
      <c r="H456" s="5">
        <f>+Table1[[#This Row],[pledged]]/Table1[[#This Row],[goal]]</f>
        <v>0.56331688596491225</v>
      </c>
      <c r="I456" t="s">
        <v>14</v>
      </c>
      <c r="J456">
        <v>1181</v>
      </c>
      <c r="K456" s="8">
        <f>IFERROR(Table1[[#This Row],[pledged]]/Table1[[#This Row],[backers_count]],"NA")</f>
        <v>87.001693480101608</v>
      </c>
      <c r="L456" t="s">
        <v>21</v>
      </c>
      <c r="M456" t="s">
        <v>22</v>
      </c>
      <c r="N456">
        <v>1480572000</v>
      </c>
      <c r="O456">
        <v>1484114400</v>
      </c>
      <c r="P456" s="11">
        <f>+(((Table1[[#This Row],[launched_at]]/60)/60)/24)+DATE(1970,1,1)</f>
        <v>42705.25</v>
      </c>
      <c r="Q456" s="11">
        <f>+(((Table1[[#This Row],[deadline]]/60)/60)/24)+DATE(1970,1,1)</f>
        <v>42746.25</v>
      </c>
      <c r="R456" t="b">
        <v>0</v>
      </c>
      <c r="S456" t="b">
        <v>0</v>
      </c>
      <c r="T456" t="s">
        <v>474</v>
      </c>
      <c r="U456" t="str">
        <f>+LEFT(Table1[[#This Row],[category &amp; sub-category]],FIND("/",Table1[[#This Row],[category &amp; sub-category]])-1)</f>
        <v>film &amp; video</v>
      </c>
      <c r="V456" t="str">
        <f>+RIGHT(Table1[[#This Row],[category &amp; sub-category]],LEN(Table1[[#This Row],[category &amp; sub-category]])-SEARCH("/",Table1[[#This Row],[category &amp; sub-category]]))</f>
        <v>science fiction</v>
      </c>
    </row>
    <row r="457" spans="2:22" ht="15.75" customHeight="1" x14ac:dyDescent="0.25">
      <c r="B457">
        <v>454</v>
      </c>
      <c r="C457" t="s">
        <v>956</v>
      </c>
      <c r="D457" s="3" t="s">
        <v>957</v>
      </c>
      <c r="E457" s="6">
        <v>4000</v>
      </c>
      <c r="F457" s="6">
        <v>1763</v>
      </c>
      <c r="G457" s="17">
        <f>ROUND(Table1[[#This Row],[pledged]]/Table1[[#This Row],[goal]]*100,2)</f>
        <v>44.08</v>
      </c>
      <c r="H457" s="5">
        <f>+Table1[[#This Row],[pledged]]/Table1[[#This Row],[goal]]</f>
        <v>0.44074999999999998</v>
      </c>
      <c r="I457" t="s">
        <v>14</v>
      </c>
      <c r="J457">
        <v>39</v>
      </c>
      <c r="K457" s="8">
        <f>IFERROR(Table1[[#This Row],[pledged]]/Table1[[#This Row],[backers_count]],"NA")</f>
        <v>45.205128205128204</v>
      </c>
      <c r="L457" t="s">
        <v>21</v>
      </c>
      <c r="M457" t="s">
        <v>22</v>
      </c>
      <c r="N457">
        <v>1382331600</v>
      </c>
      <c r="O457">
        <v>1385445600</v>
      </c>
      <c r="P457" s="11">
        <f>+(((Table1[[#This Row],[launched_at]]/60)/60)/24)+DATE(1970,1,1)</f>
        <v>41568.208333333336</v>
      </c>
      <c r="Q457" s="11">
        <f>+(((Table1[[#This Row],[deadline]]/60)/60)/24)+DATE(1970,1,1)</f>
        <v>41604.25</v>
      </c>
      <c r="R457" t="b">
        <v>0</v>
      </c>
      <c r="S457" t="b">
        <v>1</v>
      </c>
      <c r="T457" t="s">
        <v>53</v>
      </c>
      <c r="U457" t="str">
        <f>+LEFT(Table1[[#This Row],[category &amp; sub-category]],FIND("/",Table1[[#This Row],[category &amp; sub-category]])-1)</f>
        <v>film &amp; video</v>
      </c>
      <c r="V457" t="str">
        <f>+RIGHT(Table1[[#This Row],[category &amp; sub-category]],LEN(Table1[[#This Row],[category &amp; sub-category]])-SEARCH("/",Table1[[#This Row],[category &amp; sub-category]]))</f>
        <v>drama</v>
      </c>
    </row>
    <row r="458" spans="2:22" ht="15.75" customHeight="1" x14ac:dyDescent="0.25">
      <c r="B458">
        <v>455</v>
      </c>
      <c r="C458" t="s">
        <v>958</v>
      </c>
      <c r="D458" s="3" t="s">
        <v>959</v>
      </c>
      <c r="E458" s="6">
        <v>116500</v>
      </c>
      <c r="F458" s="6">
        <v>137904</v>
      </c>
      <c r="G458" s="17">
        <f>ROUND(Table1[[#This Row],[pledged]]/Table1[[#This Row],[goal]]*100,2)</f>
        <v>118.37</v>
      </c>
      <c r="H458" s="5">
        <f>+Table1[[#This Row],[pledged]]/Table1[[#This Row],[goal]]</f>
        <v>1.1837253218884121</v>
      </c>
      <c r="I458" t="s">
        <v>20</v>
      </c>
      <c r="J458">
        <v>3727</v>
      </c>
      <c r="K458" s="8">
        <f>IFERROR(Table1[[#This Row],[pledged]]/Table1[[#This Row],[backers_count]],"NA")</f>
        <v>37.001341561577675</v>
      </c>
      <c r="L458" t="s">
        <v>21</v>
      </c>
      <c r="M458" t="s">
        <v>22</v>
      </c>
      <c r="N458">
        <v>1316754000</v>
      </c>
      <c r="O458">
        <v>1318741200</v>
      </c>
      <c r="P458" s="11">
        <f>+(((Table1[[#This Row],[launched_at]]/60)/60)/24)+DATE(1970,1,1)</f>
        <v>40809.208333333336</v>
      </c>
      <c r="Q458" s="11">
        <f>+(((Table1[[#This Row],[deadline]]/60)/60)/24)+DATE(1970,1,1)</f>
        <v>40832.208333333336</v>
      </c>
      <c r="R458" t="b">
        <v>0</v>
      </c>
      <c r="S458" t="b">
        <v>0</v>
      </c>
      <c r="T458" t="s">
        <v>33</v>
      </c>
      <c r="U458" t="str">
        <f>+LEFT(Table1[[#This Row],[category &amp; sub-category]],FIND("/",Table1[[#This Row],[category &amp; sub-category]])-1)</f>
        <v>theater</v>
      </c>
      <c r="V458" t="str">
        <f>+RIGHT(Table1[[#This Row],[category &amp; sub-category]],LEN(Table1[[#This Row],[category &amp; sub-category]])-SEARCH("/",Table1[[#This Row],[category &amp; sub-category]]))</f>
        <v>plays</v>
      </c>
    </row>
    <row r="459" spans="2:22" ht="15.75" customHeight="1" x14ac:dyDescent="0.25">
      <c r="B459">
        <v>456</v>
      </c>
      <c r="C459" t="s">
        <v>960</v>
      </c>
      <c r="D459" s="3" t="s">
        <v>961</v>
      </c>
      <c r="E459" s="6">
        <v>146400</v>
      </c>
      <c r="F459" s="6">
        <v>152438</v>
      </c>
      <c r="G459" s="17">
        <f>ROUND(Table1[[#This Row],[pledged]]/Table1[[#This Row],[goal]]*100,2)</f>
        <v>104.12</v>
      </c>
      <c r="H459" s="5">
        <f>+Table1[[#This Row],[pledged]]/Table1[[#This Row],[goal]]</f>
        <v>1.041243169398907</v>
      </c>
      <c r="I459" t="s">
        <v>20</v>
      </c>
      <c r="J459">
        <v>1605</v>
      </c>
      <c r="K459" s="8">
        <f>IFERROR(Table1[[#This Row],[pledged]]/Table1[[#This Row],[backers_count]],"NA")</f>
        <v>94.976947040498445</v>
      </c>
      <c r="L459" t="s">
        <v>21</v>
      </c>
      <c r="M459" t="s">
        <v>22</v>
      </c>
      <c r="N459">
        <v>1518242400</v>
      </c>
      <c r="O459">
        <v>1518242400</v>
      </c>
      <c r="P459" s="11">
        <f>+(((Table1[[#This Row],[launched_at]]/60)/60)/24)+DATE(1970,1,1)</f>
        <v>43141.25</v>
      </c>
      <c r="Q459" s="11">
        <f>+(((Table1[[#This Row],[deadline]]/60)/60)/24)+DATE(1970,1,1)</f>
        <v>43141.25</v>
      </c>
      <c r="R459" t="b">
        <v>0</v>
      </c>
      <c r="S459" t="b">
        <v>1</v>
      </c>
      <c r="T459" t="s">
        <v>60</v>
      </c>
      <c r="U459" t="str">
        <f>+LEFT(Table1[[#This Row],[category &amp; sub-category]],FIND("/",Table1[[#This Row],[category &amp; sub-category]])-1)</f>
        <v>music</v>
      </c>
      <c r="V459" t="str">
        <f>+RIGHT(Table1[[#This Row],[category &amp; sub-category]],LEN(Table1[[#This Row],[category &amp; sub-category]])-SEARCH("/",Table1[[#This Row],[category &amp; sub-category]]))</f>
        <v>indie rock</v>
      </c>
    </row>
    <row r="460" spans="2:22" ht="15.75" customHeight="1" x14ac:dyDescent="0.25">
      <c r="B460">
        <v>457</v>
      </c>
      <c r="C460" t="s">
        <v>962</v>
      </c>
      <c r="D460" s="3" t="s">
        <v>963</v>
      </c>
      <c r="E460" s="6">
        <v>5000</v>
      </c>
      <c r="F460" s="6">
        <v>1332</v>
      </c>
      <c r="G460" s="17">
        <f>ROUND(Table1[[#This Row],[pledged]]/Table1[[#This Row],[goal]]*100,2)</f>
        <v>26.64</v>
      </c>
      <c r="H460" s="5">
        <f>+Table1[[#This Row],[pledged]]/Table1[[#This Row],[goal]]</f>
        <v>0.26640000000000003</v>
      </c>
      <c r="I460" t="s">
        <v>14</v>
      </c>
      <c r="J460">
        <v>46</v>
      </c>
      <c r="K460" s="8">
        <f>IFERROR(Table1[[#This Row],[pledged]]/Table1[[#This Row],[backers_count]],"NA")</f>
        <v>28.956521739130434</v>
      </c>
      <c r="L460" t="s">
        <v>21</v>
      </c>
      <c r="M460" t="s">
        <v>22</v>
      </c>
      <c r="N460">
        <v>1476421200</v>
      </c>
      <c r="O460">
        <v>1476594000</v>
      </c>
      <c r="P460" s="11">
        <f>+(((Table1[[#This Row],[launched_at]]/60)/60)/24)+DATE(1970,1,1)</f>
        <v>42657.208333333328</v>
      </c>
      <c r="Q460" s="11">
        <f>+(((Table1[[#This Row],[deadline]]/60)/60)/24)+DATE(1970,1,1)</f>
        <v>42659.208333333328</v>
      </c>
      <c r="R460" t="b">
        <v>0</v>
      </c>
      <c r="S460" t="b">
        <v>0</v>
      </c>
      <c r="T460" t="s">
        <v>33</v>
      </c>
      <c r="U460" t="str">
        <f>+LEFT(Table1[[#This Row],[category &amp; sub-category]],FIND("/",Table1[[#This Row],[category &amp; sub-category]])-1)</f>
        <v>theater</v>
      </c>
      <c r="V460" t="str">
        <f>+RIGHT(Table1[[#This Row],[category &amp; sub-category]],LEN(Table1[[#This Row],[category &amp; sub-category]])-SEARCH("/",Table1[[#This Row],[category &amp; sub-category]]))</f>
        <v>plays</v>
      </c>
    </row>
    <row r="461" spans="2:22" ht="15.75" customHeight="1" x14ac:dyDescent="0.25">
      <c r="B461">
        <v>458</v>
      </c>
      <c r="C461" t="s">
        <v>964</v>
      </c>
      <c r="D461" s="3" t="s">
        <v>965</v>
      </c>
      <c r="E461" s="6">
        <v>33800</v>
      </c>
      <c r="F461" s="6">
        <v>118706</v>
      </c>
      <c r="G461" s="17">
        <f>ROUND(Table1[[#This Row],[pledged]]/Table1[[#This Row],[goal]]*100,2)</f>
        <v>351.2</v>
      </c>
      <c r="H461" s="5">
        <f>+Table1[[#This Row],[pledged]]/Table1[[#This Row],[goal]]</f>
        <v>3.5120118343195266</v>
      </c>
      <c r="I461" t="s">
        <v>20</v>
      </c>
      <c r="J461">
        <v>2120</v>
      </c>
      <c r="K461" s="8">
        <f>IFERROR(Table1[[#This Row],[pledged]]/Table1[[#This Row],[backers_count]],"NA")</f>
        <v>55.993396226415094</v>
      </c>
      <c r="L461" t="s">
        <v>21</v>
      </c>
      <c r="M461" t="s">
        <v>22</v>
      </c>
      <c r="N461">
        <v>1269752400</v>
      </c>
      <c r="O461">
        <v>1273554000</v>
      </c>
      <c r="P461" s="11">
        <f>+(((Table1[[#This Row],[launched_at]]/60)/60)/24)+DATE(1970,1,1)</f>
        <v>40265.208333333336</v>
      </c>
      <c r="Q461" s="11">
        <f>+(((Table1[[#This Row],[deadline]]/60)/60)/24)+DATE(1970,1,1)</f>
        <v>40309.208333333336</v>
      </c>
      <c r="R461" t="b">
        <v>0</v>
      </c>
      <c r="S461" t="b">
        <v>0</v>
      </c>
      <c r="T461" t="s">
        <v>33</v>
      </c>
      <c r="U461" t="str">
        <f>+LEFT(Table1[[#This Row],[category &amp; sub-category]],FIND("/",Table1[[#This Row],[category &amp; sub-category]])-1)</f>
        <v>theater</v>
      </c>
      <c r="V461" t="str">
        <f>+RIGHT(Table1[[#This Row],[category &amp; sub-category]],LEN(Table1[[#This Row],[category &amp; sub-category]])-SEARCH("/",Table1[[#This Row],[category &amp; sub-category]]))</f>
        <v>plays</v>
      </c>
    </row>
    <row r="462" spans="2:22" ht="15.75" customHeight="1" x14ac:dyDescent="0.25">
      <c r="B462">
        <v>459</v>
      </c>
      <c r="C462" t="s">
        <v>966</v>
      </c>
      <c r="D462" s="3" t="s">
        <v>967</v>
      </c>
      <c r="E462" s="6">
        <v>6300</v>
      </c>
      <c r="F462" s="6">
        <v>5674</v>
      </c>
      <c r="G462" s="17">
        <f>ROUND(Table1[[#This Row],[pledged]]/Table1[[#This Row],[goal]]*100,2)</f>
        <v>90.06</v>
      </c>
      <c r="H462" s="5">
        <f>+Table1[[#This Row],[pledged]]/Table1[[#This Row],[goal]]</f>
        <v>0.90063492063492068</v>
      </c>
      <c r="I462" t="s">
        <v>14</v>
      </c>
      <c r="J462">
        <v>105</v>
      </c>
      <c r="K462" s="8">
        <f>IFERROR(Table1[[#This Row],[pledged]]/Table1[[#This Row],[backers_count]],"NA")</f>
        <v>54.038095238095238</v>
      </c>
      <c r="L462" t="s">
        <v>21</v>
      </c>
      <c r="M462" t="s">
        <v>22</v>
      </c>
      <c r="N462">
        <v>1419746400</v>
      </c>
      <c r="O462">
        <v>1421906400</v>
      </c>
      <c r="P462" s="11">
        <f>+(((Table1[[#This Row],[launched_at]]/60)/60)/24)+DATE(1970,1,1)</f>
        <v>42001.25</v>
      </c>
      <c r="Q462" s="11">
        <f>+(((Table1[[#This Row],[deadline]]/60)/60)/24)+DATE(1970,1,1)</f>
        <v>42026.25</v>
      </c>
      <c r="R462" t="b">
        <v>0</v>
      </c>
      <c r="S462" t="b">
        <v>0</v>
      </c>
      <c r="T462" t="s">
        <v>42</v>
      </c>
      <c r="U462" t="str">
        <f>+LEFT(Table1[[#This Row],[category &amp; sub-category]],FIND("/",Table1[[#This Row],[category &amp; sub-category]])-1)</f>
        <v>film &amp; video</v>
      </c>
      <c r="V462" t="str">
        <f>+RIGHT(Table1[[#This Row],[category &amp; sub-category]],LEN(Table1[[#This Row],[category &amp; sub-category]])-SEARCH("/",Table1[[#This Row],[category &amp; sub-category]]))</f>
        <v>documentary</v>
      </c>
    </row>
    <row r="463" spans="2:22" ht="15.75" customHeight="1" x14ac:dyDescent="0.25">
      <c r="B463">
        <v>460</v>
      </c>
      <c r="C463" t="s">
        <v>968</v>
      </c>
      <c r="D463" s="3" t="s">
        <v>969</v>
      </c>
      <c r="E463" s="6">
        <v>2400</v>
      </c>
      <c r="F463" s="6">
        <v>4119</v>
      </c>
      <c r="G463" s="17">
        <f>ROUND(Table1[[#This Row],[pledged]]/Table1[[#This Row],[goal]]*100,2)</f>
        <v>171.63</v>
      </c>
      <c r="H463" s="5">
        <f>+Table1[[#This Row],[pledged]]/Table1[[#This Row],[goal]]</f>
        <v>1.7162500000000001</v>
      </c>
      <c r="I463" t="s">
        <v>20</v>
      </c>
      <c r="J463">
        <v>50</v>
      </c>
      <c r="K463" s="8">
        <f>IFERROR(Table1[[#This Row],[pledged]]/Table1[[#This Row],[backers_count]],"NA")</f>
        <v>82.38</v>
      </c>
      <c r="L463" t="s">
        <v>21</v>
      </c>
      <c r="M463" t="s">
        <v>22</v>
      </c>
      <c r="N463">
        <v>1281330000</v>
      </c>
      <c r="O463">
        <v>1281589200</v>
      </c>
      <c r="P463" s="11">
        <f>+(((Table1[[#This Row],[launched_at]]/60)/60)/24)+DATE(1970,1,1)</f>
        <v>40399.208333333336</v>
      </c>
      <c r="Q463" s="11">
        <f>+(((Table1[[#This Row],[deadline]]/60)/60)/24)+DATE(1970,1,1)</f>
        <v>40402.208333333336</v>
      </c>
      <c r="R463" t="b">
        <v>0</v>
      </c>
      <c r="S463" t="b">
        <v>0</v>
      </c>
      <c r="T463" t="s">
        <v>33</v>
      </c>
      <c r="U463" t="str">
        <f>+LEFT(Table1[[#This Row],[category &amp; sub-category]],FIND("/",Table1[[#This Row],[category &amp; sub-category]])-1)</f>
        <v>theater</v>
      </c>
      <c r="V463" t="str">
        <f>+RIGHT(Table1[[#This Row],[category &amp; sub-category]],LEN(Table1[[#This Row],[category &amp; sub-category]])-SEARCH("/",Table1[[#This Row],[category &amp; sub-category]]))</f>
        <v>plays</v>
      </c>
    </row>
    <row r="464" spans="2:22" ht="15.75" customHeight="1" x14ac:dyDescent="0.25">
      <c r="B464">
        <v>461</v>
      </c>
      <c r="C464" t="s">
        <v>970</v>
      </c>
      <c r="D464" s="3" t="s">
        <v>971</v>
      </c>
      <c r="E464" s="6">
        <v>98800</v>
      </c>
      <c r="F464" s="6">
        <v>139354</v>
      </c>
      <c r="G464" s="17">
        <f>ROUND(Table1[[#This Row],[pledged]]/Table1[[#This Row],[goal]]*100,2)</f>
        <v>141.05000000000001</v>
      </c>
      <c r="H464" s="5">
        <f>+Table1[[#This Row],[pledged]]/Table1[[#This Row],[goal]]</f>
        <v>1.4104655870445344</v>
      </c>
      <c r="I464" t="s">
        <v>20</v>
      </c>
      <c r="J464">
        <v>2080</v>
      </c>
      <c r="K464" s="8">
        <f>IFERROR(Table1[[#This Row],[pledged]]/Table1[[#This Row],[backers_count]],"NA")</f>
        <v>66.997115384615384</v>
      </c>
      <c r="L464" t="s">
        <v>21</v>
      </c>
      <c r="M464" t="s">
        <v>22</v>
      </c>
      <c r="N464">
        <v>1398661200</v>
      </c>
      <c r="O464">
        <v>1400389200</v>
      </c>
      <c r="P464" s="11">
        <f>+(((Table1[[#This Row],[launched_at]]/60)/60)/24)+DATE(1970,1,1)</f>
        <v>41757.208333333336</v>
      </c>
      <c r="Q464" s="11">
        <f>+(((Table1[[#This Row],[deadline]]/60)/60)/24)+DATE(1970,1,1)</f>
        <v>41777.208333333336</v>
      </c>
      <c r="R464" t="b">
        <v>0</v>
      </c>
      <c r="S464" t="b">
        <v>0</v>
      </c>
      <c r="T464" t="s">
        <v>53</v>
      </c>
      <c r="U464" t="str">
        <f>+LEFT(Table1[[#This Row],[category &amp; sub-category]],FIND("/",Table1[[#This Row],[category &amp; sub-category]])-1)</f>
        <v>film &amp; video</v>
      </c>
      <c r="V464" t="str">
        <f>+RIGHT(Table1[[#This Row],[category &amp; sub-category]],LEN(Table1[[#This Row],[category &amp; sub-category]])-SEARCH("/",Table1[[#This Row],[category &amp; sub-category]]))</f>
        <v>drama</v>
      </c>
    </row>
    <row r="465" spans="2:22" ht="15.75" customHeight="1" x14ac:dyDescent="0.25">
      <c r="B465">
        <v>462</v>
      </c>
      <c r="C465" t="s">
        <v>972</v>
      </c>
      <c r="D465" s="3" t="s">
        <v>973</v>
      </c>
      <c r="E465" s="6">
        <v>188800</v>
      </c>
      <c r="F465" s="6">
        <v>57734</v>
      </c>
      <c r="G465" s="17">
        <f>ROUND(Table1[[#This Row],[pledged]]/Table1[[#This Row],[goal]]*100,2)</f>
        <v>30.58</v>
      </c>
      <c r="H465" s="5">
        <f>+Table1[[#This Row],[pledged]]/Table1[[#This Row],[goal]]</f>
        <v>0.30579449152542371</v>
      </c>
      <c r="I465" t="s">
        <v>14</v>
      </c>
      <c r="J465">
        <v>535</v>
      </c>
      <c r="K465" s="8">
        <f>IFERROR(Table1[[#This Row],[pledged]]/Table1[[#This Row],[backers_count]],"NA")</f>
        <v>107.91401869158878</v>
      </c>
      <c r="L465" t="s">
        <v>21</v>
      </c>
      <c r="M465" t="s">
        <v>22</v>
      </c>
      <c r="N465">
        <v>1359525600</v>
      </c>
      <c r="O465">
        <v>1362808800</v>
      </c>
      <c r="P465" s="11">
        <f>+(((Table1[[#This Row],[launched_at]]/60)/60)/24)+DATE(1970,1,1)</f>
        <v>41304.25</v>
      </c>
      <c r="Q465" s="11">
        <f>+(((Table1[[#This Row],[deadline]]/60)/60)/24)+DATE(1970,1,1)</f>
        <v>41342.25</v>
      </c>
      <c r="R465" t="b">
        <v>0</v>
      </c>
      <c r="S465" t="b">
        <v>0</v>
      </c>
      <c r="T465" t="s">
        <v>292</v>
      </c>
      <c r="U465" t="str">
        <f>+LEFT(Table1[[#This Row],[category &amp; sub-category]],FIND("/",Table1[[#This Row],[category &amp; sub-category]])-1)</f>
        <v>games</v>
      </c>
      <c r="V465" t="str">
        <f>+RIGHT(Table1[[#This Row],[category &amp; sub-category]],LEN(Table1[[#This Row],[category &amp; sub-category]])-SEARCH("/",Table1[[#This Row],[category &amp; sub-category]]))</f>
        <v>mobile games</v>
      </c>
    </row>
    <row r="466" spans="2:22" ht="15.75" customHeight="1" x14ac:dyDescent="0.25">
      <c r="B466">
        <v>463</v>
      </c>
      <c r="C466" t="s">
        <v>974</v>
      </c>
      <c r="D466" s="3" t="s">
        <v>975</v>
      </c>
      <c r="E466" s="6">
        <v>134300</v>
      </c>
      <c r="F466" s="6">
        <v>145265</v>
      </c>
      <c r="G466" s="17">
        <f>ROUND(Table1[[#This Row],[pledged]]/Table1[[#This Row],[goal]]*100,2)</f>
        <v>108.16</v>
      </c>
      <c r="H466" s="5">
        <f>+Table1[[#This Row],[pledged]]/Table1[[#This Row],[goal]]</f>
        <v>1.0816455696202532</v>
      </c>
      <c r="I466" t="s">
        <v>20</v>
      </c>
      <c r="J466">
        <v>2105</v>
      </c>
      <c r="K466" s="8">
        <f>IFERROR(Table1[[#This Row],[pledged]]/Table1[[#This Row],[backers_count]],"NA")</f>
        <v>69.009501187648453</v>
      </c>
      <c r="L466" t="s">
        <v>21</v>
      </c>
      <c r="M466" t="s">
        <v>22</v>
      </c>
      <c r="N466">
        <v>1388469600</v>
      </c>
      <c r="O466">
        <v>1388815200</v>
      </c>
      <c r="P466" s="11">
        <f>+(((Table1[[#This Row],[launched_at]]/60)/60)/24)+DATE(1970,1,1)</f>
        <v>41639.25</v>
      </c>
      <c r="Q466" s="11">
        <f>+(((Table1[[#This Row],[deadline]]/60)/60)/24)+DATE(1970,1,1)</f>
        <v>41643.25</v>
      </c>
      <c r="R466" t="b">
        <v>0</v>
      </c>
      <c r="S466" t="b">
        <v>0</v>
      </c>
      <c r="T466" t="s">
        <v>71</v>
      </c>
      <c r="U466" t="str">
        <f>+LEFT(Table1[[#This Row],[category &amp; sub-category]],FIND("/",Table1[[#This Row],[category &amp; sub-category]])-1)</f>
        <v>film &amp; video</v>
      </c>
      <c r="V466" t="str">
        <f>+RIGHT(Table1[[#This Row],[category &amp; sub-category]],LEN(Table1[[#This Row],[category &amp; sub-category]])-SEARCH("/",Table1[[#This Row],[category &amp; sub-category]]))</f>
        <v>animation</v>
      </c>
    </row>
    <row r="467" spans="2:22" ht="15.75" customHeight="1" x14ac:dyDescent="0.25">
      <c r="B467">
        <v>464</v>
      </c>
      <c r="C467" t="s">
        <v>976</v>
      </c>
      <c r="D467" s="3" t="s">
        <v>977</v>
      </c>
      <c r="E467" s="6">
        <v>71200</v>
      </c>
      <c r="F467" s="6">
        <v>95020</v>
      </c>
      <c r="G467" s="17">
        <f>ROUND(Table1[[#This Row],[pledged]]/Table1[[#This Row],[goal]]*100,2)</f>
        <v>133.46</v>
      </c>
      <c r="H467" s="5">
        <f>+Table1[[#This Row],[pledged]]/Table1[[#This Row],[goal]]</f>
        <v>1.3345505617977529</v>
      </c>
      <c r="I467" t="s">
        <v>20</v>
      </c>
      <c r="J467">
        <v>2436</v>
      </c>
      <c r="K467" s="8">
        <f>IFERROR(Table1[[#This Row],[pledged]]/Table1[[#This Row],[backers_count]],"NA")</f>
        <v>39.006568144499177</v>
      </c>
      <c r="L467" t="s">
        <v>21</v>
      </c>
      <c r="M467" t="s">
        <v>22</v>
      </c>
      <c r="N467">
        <v>1518328800</v>
      </c>
      <c r="O467">
        <v>1519538400</v>
      </c>
      <c r="P467" s="11">
        <f>+(((Table1[[#This Row],[launched_at]]/60)/60)/24)+DATE(1970,1,1)</f>
        <v>43142.25</v>
      </c>
      <c r="Q467" s="11">
        <f>+(((Table1[[#This Row],[deadline]]/60)/60)/24)+DATE(1970,1,1)</f>
        <v>43156.25</v>
      </c>
      <c r="R467" t="b">
        <v>0</v>
      </c>
      <c r="S467" t="b">
        <v>0</v>
      </c>
      <c r="T467" t="s">
        <v>33</v>
      </c>
      <c r="U467" t="str">
        <f>+LEFT(Table1[[#This Row],[category &amp; sub-category]],FIND("/",Table1[[#This Row],[category &amp; sub-category]])-1)</f>
        <v>theater</v>
      </c>
      <c r="V467" t="str">
        <f>+RIGHT(Table1[[#This Row],[category &amp; sub-category]],LEN(Table1[[#This Row],[category &amp; sub-category]])-SEARCH("/",Table1[[#This Row],[category &amp; sub-category]]))</f>
        <v>plays</v>
      </c>
    </row>
    <row r="468" spans="2:22" ht="15.75" customHeight="1" x14ac:dyDescent="0.25">
      <c r="B468">
        <v>465</v>
      </c>
      <c r="C468" t="s">
        <v>978</v>
      </c>
      <c r="D468" s="3" t="s">
        <v>979</v>
      </c>
      <c r="E468" s="6">
        <v>4700</v>
      </c>
      <c r="F468" s="6">
        <v>8829</v>
      </c>
      <c r="G468" s="17">
        <f>ROUND(Table1[[#This Row],[pledged]]/Table1[[#This Row],[goal]]*100,2)</f>
        <v>187.85</v>
      </c>
      <c r="H468" s="5">
        <f>+Table1[[#This Row],[pledged]]/Table1[[#This Row],[goal]]</f>
        <v>1.8785106382978722</v>
      </c>
      <c r="I468" t="s">
        <v>20</v>
      </c>
      <c r="J468">
        <v>80</v>
      </c>
      <c r="K468" s="8">
        <f>IFERROR(Table1[[#This Row],[pledged]]/Table1[[#This Row],[backers_count]],"NA")</f>
        <v>110.3625</v>
      </c>
      <c r="L468" t="s">
        <v>21</v>
      </c>
      <c r="M468" t="s">
        <v>22</v>
      </c>
      <c r="N468">
        <v>1517032800</v>
      </c>
      <c r="O468">
        <v>1517810400</v>
      </c>
      <c r="P468" s="11">
        <f>+(((Table1[[#This Row],[launched_at]]/60)/60)/24)+DATE(1970,1,1)</f>
        <v>43127.25</v>
      </c>
      <c r="Q468" s="11">
        <f>+(((Table1[[#This Row],[deadline]]/60)/60)/24)+DATE(1970,1,1)</f>
        <v>43136.25</v>
      </c>
      <c r="R468" t="b">
        <v>0</v>
      </c>
      <c r="S468" t="b">
        <v>0</v>
      </c>
      <c r="T468" t="s">
        <v>206</v>
      </c>
      <c r="U468" t="str">
        <f>+LEFT(Table1[[#This Row],[category &amp; sub-category]],FIND("/",Table1[[#This Row],[category &amp; sub-category]])-1)</f>
        <v>publishing</v>
      </c>
      <c r="V468" t="str">
        <f>+RIGHT(Table1[[#This Row],[category &amp; sub-category]],LEN(Table1[[#This Row],[category &amp; sub-category]])-SEARCH("/",Table1[[#This Row],[category &amp; sub-category]]))</f>
        <v>translations</v>
      </c>
    </row>
    <row r="469" spans="2:22" ht="15.75" customHeight="1" x14ac:dyDescent="0.25">
      <c r="B469">
        <v>466</v>
      </c>
      <c r="C469" t="s">
        <v>980</v>
      </c>
      <c r="D469" s="3" t="s">
        <v>981</v>
      </c>
      <c r="E469" s="6">
        <v>1200</v>
      </c>
      <c r="F469" s="6">
        <v>3984</v>
      </c>
      <c r="G469" s="17">
        <f>ROUND(Table1[[#This Row],[pledged]]/Table1[[#This Row],[goal]]*100,2)</f>
        <v>332</v>
      </c>
      <c r="H469" s="5">
        <f>+Table1[[#This Row],[pledged]]/Table1[[#This Row],[goal]]</f>
        <v>3.32</v>
      </c>
      <c r="I469" t="s">
        <v>20</v>
      </c>
      <c r="J469">
        <v>42</v>
      </c>
      <c r="K469" s="8">
        <f>IFERROR(Table1[[#This Row],[pledged]]/Table1[[#This Row],[backers_count]],"NA")</f>
        <v>94.857142857142861</v>
      </c>
      <c r="L469" t="s">
        <v>21</v>
      </c>
      <c r="M469" t="s">
        <v>22</v>
      </c>
      <c r="N469">
        <v>1368594000</v>
      </c>
      <c r="O469">
        <v>1370581200</v>
      </c>
      <c r="P469" s="11">
        <f>+(((Table1[[#This Row],[launched_at]]/60)/60)/24)+DATE(1970,1,1)</f>
        <v>41409.208333333336</v>
      </c>
      <c r="Q469" s="11">
        <f>+(((Table1[[#This Row],[deadline]]/60)/60)/24)+DATE(1970,1,1)</f>
        <v>41432.208333333336</v>
      </c>
      <c r="R469" t="b">
        <v>0</v>
      </c>
      <c r="S469" t="b">
        <v>1</v>
      </c>
      <c r="T469" t="s">
        <v>65</v>
      </c>
      <c r="U469" t="str">
        <f>+LEFT(Table1[[#This Row],[category &amp; sub-category]],FIND("/",Table1[[#This Row],[category &amp; sub-category]])-1)</f>
        <v>technology</v>
      </c>
      <c r="V469" t="str">
        <f>+RIGHT(Table1[[#This Row],[category &amp; sub-category]],LEN(Table1[[#This Row],[category &amp; sub-category]])-SEARCH("/",Table1[[#This Row],[category &amp; sub-category]]))</f>
        <v>wearables</v>
      </c>
    </row>
    <row r="470" spans="2:22" ht="15.75" customHeight="1" x14ac:dyDescent="0.25">
      <c r="B470">
        <v>467</v>
      </c>
      <c r="C470" t="s">
        <v>982</v>
      </c>
      <c r="D470" s="3" t="s">
        <v>983</v>
      </c>
      <c r="E470" s="6">
        <v>1400</v>
      </c>
      <c r="F470" s="6">
        <v>8053</v>
      </c>
      <c r="G470" s="17">
        <f>ROUND(Table1[[#This Row],[pledged]]/Table1[[#This Row],[goal]]*100,2)</f>
        <v>575.21</v>
      </c>
      <c r="H470" s="5">
        <f>+Table1[[#This Row],[pledged]]/Table1[[#This Row],[goal]]</f>
        <v>5.7521428571428572</v>
      </c>
      <c r="I470" t="s">
        <v>20</v>
      </c>
      <c r="J470">
        <v>139</v>
      </c>
      <c r="K470" s="8">
        <f>IFERROR(Table1[[#This Row],[pledged]]/Table1[[#This Row],[backers_count]],"NA")</f>
        <v>57.935251798561154</v>
      </c>
      <c r="L470" t="s">
        <v>15</v>
      </c>
      <c r="M470" t="s">
        <v>16</v>
      </c>
      <c r="N470">
        <v>1448258400</v>
      </c>
      <c r="O470">
        <v>1448863200</v>
      </c>
      <c r="P470" s="11">
        <f>+(((Table1[[#This Row],[launched_at]]/60)/60)/24)+DATE(1970,1,1)</f>
        <v>42331.25</v>
      </c>
      <c r="Q470" s="11">
        <f>+(((Table1[[#This Row],[deadline]]/60)/60)/24)+DATE(1970,1,1)</f>
        <v>42338.25</v>
      </c>
      <c r="R470" t="b">
        <v>0</v>
      </c>
      <c r="S470" t="b">
        <v>1</v>
      </c>
      <c r="T470" t="s">
        <v>28</v>
      </c>
      <c r="U470" t="str">
        <f>+LEFT(Table1[[#This Row],[category &amp; sub-category]],FIND("/",Table1[[#This Row],[category &amp; sub-category]])-1)</f>
        <v>technology</v>
      </c>
      <c r="V470" t="str">
        <f>+RIGHT(Table1[[#This Row],[category &amp; sub-category]],LEN(Table1[[#This Row],[category &amp; sub-category]])-SEARCH("/",Table1[[#This Row],[category &amp; sub-category]]))</f>
        <v>web</v>
      </c>
    </row>
    <row r="471" spans="2:22" ht="15.75" customHeight="1" x14ac:dyDescent="0.25">
      <c r="B471">
        <v>468</v>
      </c>
      <c r="C471" t="s">
        <v>984</v>
      </c>
      <c r="D471" s="3" t="s">
        <v>985</v>
      </c>
      <c r="E471" s="6">
        <v>4000</v>
      </c>
      <c r="F471" s="6">
        <v>1620</v>
      </c>
      <c r="G471" s="17">
        <f>ROUND(Table1[[#This Row],[pledged]]/Table1[[#This Row],[goal]]*100,2)</f>
        <v>40.5</v>
      </c>
      <c r="H471" s="5">
        <f>+Table1[[#This Row],[pledged]]/Table1[[#This Row],[goal]]</f>
        <v>0.40500000000000003</v>
      </c>
      <c r="I471" t="s">
        <v>14</v>
      </c>
      <c r="J471">
        <v>16</v>
      </c>
      <c r="K471" s="8">
        <f>IFERROR(Table1[[#This Row],[pledged]]/Table1[[#This Row],[backers_count]],"NA")</f>
        <v>101.25</v>
      </c>
      <c r="L471" t="s">
        <v>21</v>
      </c>
      <c r="M471" t="s">
        <v>22</v>
      </c>
      <c r="N471">
        <v>1555218000</v>
      </c>
      <c r="O471">
        <v>1556600400</v>
      </c>
      <c r="P471" s="11">
        <f>+(((Table1[[#This Row],[launched_at]]/60)/60)/24)+DATE(1970,1,1)</f>
        <v>43569.208333333328</v>
      </c>
      <c r="Q471" s="11">
        <f>+(((Table1[[#This Row],[deadline]]/60)/60)/24)+DATE(1970,1,1)</f>
        <v>43585.208333333328</v>
      </c>
      <c r="R471" t="b">
        <v>0</v>
      </c>
      <c r="S471" t="b">
        <v>0</v>
      </c>
      <c r="T471" t="s">
        <v>33</v>
      </c>
      <c r="U471" t="str">
        <f>+LEFT(Table1[[#This Row],[category &amp; sub-category]],FIND("/",Table1[[#This Row],[category &amp; sub-category]])-1)</f>
        <v>theater</v>
      </c>
      <c r="V471" t="str">
        <f>+RIGHT(Table1[[#This Row],[category &amp; sub-category]],LEN(Table1[[#This Row],[category &amp; sub-category]])-SEARCH("/",Table1[[#This Row],[category &amp; sub-category]]))</f>
        <v>plays</v>
      </c>
    </row>
    <row r="472" spans="2:22" ht="15.75" customHeight="1" x14ac:dyDescent="0.25">
      <c r="B472">
        <v>469</v>
      </c>
      <c r="C472" t="s">
        <v>986</v>
      </c>
      <c r="D472" s="3" t="s">
        <v>987</v>
      </c>
      <c r="E472" s="6">
        <v>5600</v>
      </c>
      <c r="F472" s="6">
        <v>10328</v>
      </c>
      <c r="G472" s="17">
        <f>ROUND(Table1[[#This Row],[pledged]]/Table1[[#This Row],[goal]]*100,2)</f>
        <v>184.43</v>
      </c>
      <c r="H472" s="5">
        <f>+Table1[[#This Row],[pledged]]/Table1[[#This Row],[goal]]</f>
        <v>1.8442857142857143</v>
      </c>
      <c r="I472" t="s">
        <v>20</v>
      </c>
      <c r="J472">
        <v>159</v>
      </c>
      <c r="K472" s="8">
        <f>IFERROR(Table1[[#This Row],[pledged]]/Table1[[#This Row],[backers_count]],"NA")</f>
        <v>64.95597484276729</v>
      </c>
      <c r="L472" t="s">
        <v>21</v>
      </c>
      <c r="M472" t="s">
        <v>22</v>
      </c>
      <c r="N472">
        <v>1431925200</v>
      </c>
      <c r="O472">
        <v>1432098000</v>
      </c>
      <c r="P472" s="11">
        <f>+(((Table1[[#This Row],[launched_at]]/60)/60)/24)+DATE(1970,1,1)</f>
        <v>42142.208333333328</v>
      </c>
      <c r="Q472" s="11">
        <f>+(((Table1[[#This Row],[deadline]]/60)/60)/24)+DATE(1970,1,1)</f>
        <v>42144.208333333328</v>
      </c>
      <c r="R472" t="b">
        <v>0</v>
      </c>
      <c r="S472" t="b">
        <v>0</v>
      </c>
      <c r="T472" t="s">
        <v>53</v>
      </c>
      <c r="U472" t="str">
        <f>+LEFT(Table1[[#This Row],[category &amp; sub-category]],FIND("/",Table1[[#This Row],[category &amp; sub-category]])-1)</f>
        <v>film &amp; video</v>
      </c>
      <c r="V472" t="str">
        <f>+RIGHT(Table1[[#This Row],[category &amp; sub-category]],LEN(Table1[[#This Row],[category &amp; sub-category]])-SEARCH("/",Table1[[#This Row],[category &amp; sub-category]]))</f>
        <v>drama</v>
      </c>
    </row>
    <row r="473" spans="2:22" ht="15.75" customHeight="1" x14ac:dyDescent="0.25">
      <c r="B473">
        <v>470</v>
      </c>
      <c r="C473" t="s">
        <v>988</v>
      </c>
      <c r="D473" s="3" t="s">
        <v>989</v>
      </c>
      <c r="E473" s="6">
        <v>3600</v>
      </c>
      <c r="F473" s="6">
        <v>10289</v>
      </c>
      <c r="G473" s="17">
        <f>ROUND(Table1[[#This Row],[pledged]]/Table1[[#This Row],[goal]]*100,2)</f>
        <v>285.81</v>
      </c>
      <c r="H473" s="5">
        <f>+Table1[[#This Row],[pledged]]/Table1[[#This Row],[goal]]</f>
        <v>2.8580555555555556</v>
      </c>
      <c r="I473" t="s">
        <v>20</v>
      </c>
      <c r="J473">
        <v>381</v>
      </c>
      <c r="K473" s="8">
        <f>IFERROR(Table1[[#This Row],[pledged]]/Table1[[#This Row],[backers_count]],"NA")</f>
        <v>27.00524934383202</v>
      </c>
      <c r="L473" t="s">
        <v>21</v>
      </c>
      <c r="M473" t="s">
        <v>22</v>
      </c>
      <c r="N473">
        <v>1481522400</v>
      </c>
      <c r="O473">
        <v>1482127200</v>
      </c>
      <c r="P473" s="11">
        <f>+(((Table1[[#This Row],[launched_at]]/60)/60)/24)+DATE(1970,1,1)</f>
        <v>42716.25</v>
      </c>
      <c r="Q473" s="11">
        <f>+(((Table1[[#This Row],[deadline]]/60)/60)/24)+DATE(1970,1,1)</f>
        <v>42723.25</v>
      </c>
      <c r="R473" t="b">
        <v>0</v>
      </c>
      <c r="S473" t="b">
        <v>0</v>
      </c>
      <c r="T473" t="s">
        <v>65</v>
      </c>
      <c r="U473" t="str">
        <f>+LEFT(Table1[[#This Row],[category &amp; sub-category]],FIND("/",Table1[[#This Row],[category &amp; sub-category]])-1)</f>
        <v>technology</v>
      </c>
      <c r="V473" t="str">
        <f>+RIGHT(Table1[[#This Row],[category &amp; sub-category]],LEN(Table1[[#This Row],[category &amp; sub-category]])-SEARCH("/",Table1[[#This Row],[category &amp; sub-category]]))</f>
        <v>wearables</v>
      </c>
    </row>
    <row r="474" spans="2:22" ht="15.75" customHeight="1" x14ac:dyDescent="0.25">
      <c r="B474">
        <v>471</v>
      </c>
      <c r="C474" t="s">
        <v>446</v>
      </c>
      <c r="D474" s="3" t="s">
        <v>990</v>
      </c>
      <c r="E474" s="6">
        <v>3100</v>
      </c>
      <c r="F474" s="6">
        <v>9889</v>
      </c>
      <c r="G474" s="17">
        <f>ROUND(Table1[[#This Row],[pledged]]/Table1[[#This Row],[goal]]*100,2)</f>
        <v>319</v>
      </c>
      <c r="H474" s="5">
        <f>+Table1[[#This Row],[pledged]]/Table1[[#This Row],[goal]]</f>
        <v>3.19</v>
      </c>
      <c r="I474" t="s">
        <v>20</v>
      </c>
      <c r="J474">
        <v>194</v>
      </c>
      <c r="K474" s="8">
        <f>IFERROR(Table1[[#This Row],[pledged]]/Table1[[#This Row],[backers_count]],"NA")</f>
        <v>50.97422680412371</v>
      </c>
      <c r="L474" t="s">
        <v>40</v>
      </c>
      <c r="M474" t="s">
        <v>41</v>
      </c>
      <c r="N474">
        <v>1335934800</v>
      </c>
      <c r="O474">
        <v>1335934800</v>
      </c>
      <c r="P474" s="11">
        <f>+(((Table1[[#This Row],[launched_at]]/60)/60)/24)+DATE(1970,1,1)</f>
        <v>41031.208333333336</v>
      </c>
      <c r="Q474" s="11">
        <f>+(((Table1[[#This Row],[deadline]]/60)/60)/24)+DATE(1970,1,1)</f>
        <v>41031.208333333336</v>
      </c>
      <c r="R474" t="b">
        <v>0</v>
      </c>
      <c r="S474" t="b">
        <v>1</v>
      </c>
      <c r="T474" t="s">
        <v>17</v>
      </c>
      <c r="U474" t="str">
        <f>+LEFT(Table1[[#This Row],[category &amp; sub-category]],FIND("/",Table1[[#This Row],[category &amp; sub-category]])-1)</f>
        <v>food</v>
      </c>
      <c r="V474" t="str">
        <f>+RIGHT(Table1[[#This Row],[category &amp; sub-category]],LEN(Table1[[#This Row],[category &amp; sub-category]])-SEARCH("/",Table1[[#This Row],[category &amp; sub-category]]))</f>
        <v>food trucks</v>
      </c>
    </row>
    <row r="475" spans="2:22" ht="15.75" customHeight="1" x14ac:dyDescent="0.25">
      <c r="B475">
        <v>472</v>
      </c>
      <c r="C475" t="s">
        <v>991</v>
      </c>
      <c r="D475" s="3" t="s">
        <v>992</v>
      </c>
      <c r="E475" s="6">
        <v>153800</v>
      </c>
      <c r="F475" s="6">
        <v>60342</v>
      </c>
      <c r="G475" s="17">
        <f>ROUND(Table1[[#This Row],[pledged]]/Table1[[#This Row],[goal]]*100,2)</f>
        <v>39.229999999999997</v>
      </c>
      <c r="H475" s="5">
        <f>+Table1[[#This Row],[pledged]]/Table1[[#This Row],[goal]]</f>
        <v>0.39234070221066319</v>
      </c>
      <c r="I475" t="s">
        <v>14</v>
      </c>
      <c r="J475">
        <v>575</v>
      </c>
      <c r="K475" s="8">
        <f>IFERROR(Table1[[#This Row],[pledged]]/Table1[[#This Row],[backers_count]],"NA")</f>
        <v>104.94260869565217</v>
      </c>
      <c r="L475" t="s">
        <v>21</v>
      </c>
      <c r="M475" t="s">
        <v>22</v>
      </c>
      <c r="N475">
        <v>1552280400</v>
      </c>
      <c r="O475">
        <v>1556946000</v>
      </c>
      <c r="P475" s="11">
        <f>+(((Table1[[#This Row],[launched_at]]/60)/60)/24)+DATE(1970,1,1)</f>
        <v>43535.208333333328</v>
      </c>
      <c r="Q475" s="11">
        <f>+(((Table1[[#This Row],[deadline]]/60)/60)/24)+DATE(1970,1,1)</f>
        <v>43589.208333333328</v>
      </c>
      <c r="R475" t="b">
        <v>0</v>
      </c>
      <c r="S475" t="b">
        <v>0</v>
      </c>
      <c r="T475" t="s">
        <v>23</v>
      </c>
      <c r="U475" t="str">
        <f>+LEFT(Table1[[#This Row],[category &amp; sub-category]],FIND("/",Table1[[#This Row],[category &amp; sub-category]])-1)</f>
        <v>music</v>
      </c>
      <c r="V475" t="str">
        <f>+RIGHT(Table1[[#This Row],[category &amp; sub-category]],LEN(Table1[[#This Row],[category &amp; sub-category]])-SEARCH("/",Table1[[#This Row],[category &amp; sub-category]]))</f>
        <v>rock</v>
      </c>
    </row>
    <row r="476" spans="2:22" ht="15.75" customHeight="1" x14ac:dyDescent="0.25">
      <c r="B476">
        <v>473</v>
      </c>
      <c r="C476" t="s">
        <v>993</v>
      </c>
      <c r="D476" s="3" t="s">
        <v>994</v>
      </c>
      <c r="E476" s="6">
        <v>5000</v>
      </c>
      <c r="F476" s="6">
        <v>8907</v>
      </c>
      <c r="G476" s="17">
        <f>ROUND(Table1[[#This Row],[pledged]]/Table1[[#This Row],[goal]]*100,2)</f>
        <v>178.14</v>
      </c>
      <c r="H476" s="5">
        <f>+Table1[[#This Row],[pledged]]/Table1[[#This Row],[goal]]</f>
        <v>1.7814000000000001</v>
      </c>
      <c r="I476" t="s">
        <v>20</v>
      </c>
      <c r="J476">
        <v>106</v>
      </c>
      <c r="K476" s="8">
        <f>IFERROR(Table1[[#This Row],[pledged]]/Table1[[#This Row],[backers_count]],"NA")</f>
        <v>84.028301886792448</v>
      </c>
      <c r="L476" t="s">
        <v>21</v>
      </c>
      <c r="M476" t="s">
        <v>22</v>
      </c>
      <c r="N476">
        <v>1529989200</v>
      </c>
      <c r="O476">
        <v>1530075600</v>
      </c>
      <c r="P476" s="11">
        <f>+(((Table1[[#This Row],[launched_at]]/60)/60)/24)+DATE(1970,1,1)</f>
        <v>43277.208333333328</v>
      </c>
      <c r="Q476" s="11">
        <f>+(((Table1[[#This Row],[deadline]]/60)/60)/24)+DATE(1970,1,1)</f>
        <v>43278.208333333328</v>
      </c>
      <c r="R476" t="b">
        <v>0</v>
      </c>
      <c r="S476" t="b">
        <v>0</v>
      </c>
      <c r="T476" t="s">
        <v>50</v>
      </c>
      <c r="U476" t="str">
        <f>+LEFT(Table1[[#This Row],[category &amp; sub-category]],FIND("/",Table1[[#This Row],[category &amp; sub-category]])-1)</f>
        <v>music</v>
      </c>
      <c r="V476" t="str">
        <f>+RIGHT(Table1[[#This Row],[category &amp; sub-category]],LEN(Table1[[#This Row],[category &amp; sub-category]])-SEARCH("/",Table1[[#This Row],[category &amp; sub-category]]))</f>
        <v>electric music</v>
      </c>
    </row>
    <row r="477" spans="2:22" ht="15.75" customHeight="1" x14ac:dyDescent="0.25">
      <c r="B477">
        <v>474</v>
      </c>
      <c r="C477" t="s">
        <v>995</v>
      </c>
      <c r="D477" s="3" t="s">
        <v>996</v>
      </c>
      <c r="E477" s="6">
        <v>4000</v>
      </c>
      <c r="F477" s="6">
        <v>14606</v>
      </c>
      <c r="G477" s="17">
        <f>ROUND(Table1[[#This Row],[pledged]]/Table1[[#This Row],[goal]]*100,2)</f>
        <v>365.15</v>
      </c>
      <c r="H477" s="5">
        <f>+Table1[[#This Row],[pledged]]/Table1[[#This Row],[goal]]</f>
        <v>3.6515</v>
      </c>
      <c r="I477" t="s">
        <v>20</v>
      </c>
      <c r="J477">
        <v>142</v>
      </c>
      <c r="K477" s="8">
        <f>IFERROR(Table1[[#This Row],[pledged]]/Table1[[#This Row],[backers_count]],"NA")</f>
        <v>102.85915492957747</v>
      </c>
      <c r="L477" t="s">
        <v>21</v>
      </c>
      <c r="M477" t="s">
        <v>22</v>
      </c>
      <c r="N477">
        <v>1418709600</v>
      </c>
      <c r="O477">
        <v>1418796000</v>
      </c>
      <c r="P477" s="11">
        <f>+(((Table1[[#This Row],[launched_at]]/60)/60)/24)+DATE(1970,1,1)</f>
        <v>41989.25</v>
      </c>
      <c r="Q477" s="11">
        <f>+(((Table1[[#This Row],[deadline]]/60)/60)/24)+DATE(1970,1,1)</f>
        <v>41990.25</v>
      </c>
      <c r="R477" t="b">
        <v>0</v>
      </c>
      <c r="S477" t="b">
        <v>0</v>
      </c>
      <c r="T477" t="s">
        <v>269</v>
      </c>
      <c r="U477" t="str">
        <f>+LEFT(Table1[[#This Row],[category &amp; sub-category]],FIND("/",Table1[[#This Row],[category &amp; sub-category]])-1)</f>
        <v>film &amp; video</v>
      </c>
      <c r="V477" t="str">
        <f>+RIGHT(Table1[[#This Row],[category &amp; sub-category]],LEN(Table1[[#This Row],[category &amp; sub-category]])-SEARCH("/",Table1[[#This Row],[category &amp; sub-category]]))</f>
        <v>television</v>
      </c>
    </row>
    <row r="478" spans="2:22" ht="15.75" customHeight="1" x14ac:dyDescent="0.25">
      <c r="B478">
        <v>475</v>
      </c>
      <c r="C478" t="s">
        <v>997</v>
      </c>
      <c r="D478" s="3" t="s">
        <v>998</v>
      </c>
      <c r="E478" s="6">
        <v>7400</v>
      </c>
      <c r="F478" s="6">
        <v>8432</v>
      </c>
      <c r="G478" s="17">
        <f>ROUND(Table1[[#This Row],[pledged]]/Table1[[#This Row],[goal]]*100,2)</f>
        <v>113.95</v>
      </c>
      <c r="H478" s="5">
        <f>+Table1[[#This Row],[pledged]]/Table1[[#This Row],[goal]]</f>
        <v>1.1394594594594594</v>
      </c>
      <c r="I478" t="s">
        <v>20</v>
      </c>
      <c r="J478">
        <v>211</v>
      </c>
      <c r="K478" s="8">
        <f>IFERROR(Table1[[#This Row],[pledged]]/Table1[[#This Row],[backers_count]],"NA")</f>
        <v>39.962085308056871</v>
      </c>
      <c r="L478" t="s">
        <v>21</v>
      </c>
      <c r="M478" t="s">
        <v>22</v>
      </c>
      <c r="N478">
        <v>1372136400</v>
      </c>
      <c r="O478">
        <v>1372482000</v>
      </c>
      <c r="P478" s="11">
        <f>+(((Table1[[#This Row],[launched_at]]/60)/60)/24)+DATE(1970,1,1)</f>
        <v>41450.208333333336</v>
      </c>
      <c r="Q478" s="11">
        <f>+(((Table1[[#This Row],[deadline]]/60)/60)/24)+DATE(1970,1,1)</f>
        <v>41454.208333333336</v>
      </c>
      <c r="R478" t="b">
        <v>0</v>
      </c>
      <c r="S478" t="b">
        <v>1</v>
      </c>
      <c r="T478" t="s">
        <v>206</v>
      </c>
      <c r="U478" t="str">
        <f>+LEFT(Table1[[#This Row],[category &amp; sub-category]],FIND("/",Table1[[#This Row],[category &amp; sub-category]])-1)</f>
        <v>publishing</v>
      </c>
      <c r="V478" t="str">
        <f>+RIGHT(Table1[[#This Row],[category &amp; sub-category]],LEN(Table1[[#This Row],[category &amp; sub-category]])-SEARCH("/",Table1[[#This Row],[category &amp; sub-category]]))</f>
        <v>translations</v>
      </c>
    </row>
    <row r="479" spans="2:22" ht="15.75" customHeight="1" x14ac:dyDescent="0.25">
      <c r="B479">
        <v>476</v>
      </c>
      <c r="C479" t="s">
        <v>999</v>
      </c>
      <c r="D479" s="3" t="s">
        <v>1000</v>
      </c>
      <c r="E479" s="6">
        <v>191500</v>
      </c>
      <c r="F479" s="6">
        <v>57122</v>
      </c>
      <c r="G479" s="17">
        <f>ROUND(Table1[[#This Row],[pledged]]/Table1[[#This Row],[goal]]*100,2)</f>
        <v>29.83</v>
      </c>
      <c r="H479" s="5">
        <f>+Table1[[#This Row],[pledged]]/Table1[[#This Row],[goal]]</f>
        <v>0.29828720626631855</v>
      </c>
      <c r="I479" t="s">
        <v>14</v>
      </c>
      <c r="J479">
        <v>1120</v>
      </c>
      <c r="K479" s="8">
        <f>IFERROR(Table1[[#This Row],[pledged]]/Table1[[#This Row],[backers_count]],"NA")</f>
        <v>51.001785714285717</v>
      </c>
      <c r="L479" t="s">
        <v>21</v>
      </c>
      <c r="M479" t="s">
        <v>22</v>
      </c>
      <c r="N479">
        <v>1533877200</v>
      </c>
      <c r="O479">
        <v>1534395600</v>
      </c>
      <c r="P479" s="11">
        <f>+(((Table1[[#This Row],[launched_at]]/60)/60)/24)+DATE(1970,1,1)</f>
        <v>43322.208333333328</v>
      </c>
      <c r="Q479" s="11">
        <f>+(((Table1[[#This Row],[deadline]]/60)/60)/24)+DATE(1970,1,1)</f>
        <v>43328.208333333328</v>
      </c>
      <c r="R479" t="b">
        <v>0</v>
      </c>
      <c r="S479" t="b">
        <v>0</v>
      </c>
      <c r="T479" t="s">
        <v>119</v>
      </c>
      <c r="U479" t="str">
        <f>+LEFT(Table1[[#This Row],[category &amp; sub-category]],FIND("/",Table1[[#This Row],[category &amp; sub-category]])-1)</f>
        <v>publishing</v>
      </c>
      <c r="V479" t="str">
        <f>+RIGHT(Table1[[#This Row],[category &amp; sub-category]],LEN(Table1[[#This Row],[category &amp; sub-category]])-SEARCH("/",Table1[[#This Row],[category &amp; sub-category]]))</f>
        <v>fiction</v>
      </c>
    </row>
    <row r="480" spans="2:22" ht="15.75" customHeight="1" x14ac:dyDescent="0.25">
      <c r="B480">
        <v>477</v>
      </c>
      <c r="C480" t="s">
        <v>1001</v>
      </c>
      <c r="D480" s="3" t="s">
        <v>1002</v>
      </c>
      <c r="E480" s="6">
        <v>8500</v>
      </c>
      <c r="F480" s="6">
        <v>4613</v>
      </c>
      <c r="G480" s="17">
        <f>ROUND(Table1[[#This Row],[pledged]]/Table1[[#This Row],[goal]]*100,2)</f>
        <v>54.27</v>
      </c>
      <c r="H480" s="5">
        <f>+Table1[[#This Row],[pledged]]/Table1[[#This Row],[goal]]</f>
        <v>0.54270588235294115</v>
      </c>
      <c r="I480" t="s">
        <v>14</v>
      </c>
      <c r="J480">
        <v>113</v>
      </c>
      <c r="K480" s="8">
        <f>IFERROR(Table1[[#This Row],[pledged]]/Table1[[#This Row],[backers_count]],"NA")</f>
        <v>40.823008849557525</v>
      </c>
      <c r="L480" t="s">
        <v>21</v>
      </c>
      <c r="M480" t="s">
        <v>22</v>
      </c>
      <c r="N480">
        <v>1309064400</v>
      </c>
      <c r="O480">
        <v>1311397200</v>
      </c>
      <c r="P480" s="11">
        <f>+(((Table1[[#This Row],[launched_at]]/60)/60)/24)+DATE(1970,1,1)</f>
        <v>40720.208333333336</v>
      </c>
      <c r="Q480" s="11">
        <f>+(((Table1[[#This Row],[deadline]]/60)/60)/24)+DATE(1970,1,1)</f>
        <v>40747.208333333336</v>
      </c>
      <c r="R480" t="b">
        <v>0</v>
      </c>
      <c r="S480" t="b">
        <v>0</v>
      </c>
      <c r="T480" t="s">
        <v>474</v>
      </c>
      <c r="U480" t="str">
        <f>+LEFT(Table1[[#This Row],[category &amp; sub-category]],FIND("/",Table1[[#This Row],[category &amp; sub-category]])-1)</f>
        <v>film &amp; video</v>
      </c>
      <c r="V480" t="str">
        <f>+RIGHT(Table1[[#This Row],[category &amp; sub-category]],LEN(Table1[[#This Row],[category &amp; sub-category]])-SEARCH("/",Table1[[#This Row],[category &amp; sub-category]]))</f>
        <v>science fiction</v>
      </c>
    </row>
    <row r="481" spans="2:22" ht="15.75" customHeight="1" x14ac:dyDescent="0.25">
      <c r="B481">
        <v>478</v>
      </c>
      <c r="C481" t="s">
        <v>1003</v>
      </c>
      <c r="D481" s="3" t="s">
        <v>1004</v>
      </c>
      <c r="E481" s="6">
        <v>68800</v>
      </c>
      <c r="F481" s="6">
        <v>162603</v>
      </c>
      <c r="G481" s="17">
        <f>ROUND(Table1[[#This Row],[pledged]]/Table1[[#This Row],[goal]]*100,2)</f>
        <v>236.34</v>
      </c>
      <c r="H481" s="5">
        <f>+Table1[[#This Row],[pledged]]/Table1[[#This Row],[goal]]</f>
        <v>2.3634156976744185</v>
      </c>
      <c r="I481" t="s">
        <v>20</v>
      </c>
      <c r="J481">
        <v>2756</v>
      </c>
      <c r="K481" s="8">
        <f>IFERROR(Table1[[#This Row],[pledged]]/Table1[[#This Row],[backers_count]],"NA")</f>
        <v>58.999637155297535</v>
      </c>
      <c r="L481" t="s">
        <v>21</v>
      </c>
      <c r="M481" t="s">
        <v>22</v>
      </c>
      <c r="N481">
        <v>1425877200</v>
      </c>
      <c r="O481">
        <v>1426914000</v>
      </c>
      <c r="P481" s="11">
        <f>+(((Table1[[#This Row],[launched_at]]/60)/60)/24)+DATE(1970,1,1)</f>
        <v>42072.208333333328</v>
      </c>
      <c r="Q481" s="11">
        <f>+(((Table1[[#This Row],[deadline]]/60)/60)/24)+DATE(1970,1,1)</f>
        <v>42084.208333333328</v>
      </c>
      <c r="R481" t="b">
        <v>0</v>
      </c>
      <c r="S481" t="b">
        <v>0</v>
      </c>
      <c r="T481" t="s">
        <v>65</v>
      </c>
      <c r="U481" t="str">
        <f>+LEFT(Table1[[#This Row],[category &amp; sub-category]],FIND("/",Table1[[#This Row],[category &amp; sub-category]])-1)</f>
        <v>technology</v>
      </c>
      <c r="V481" t="str">
        <f>+RIGHT(Table1[[#This Row],[category &amp; sub-category]],LEN(Table1[[#This Row],[category &amp; sub-category]])-SEARCH("/",Table1[[#This Row],[category &amp; sub-category]]))</f>
        <v>wearables</v>
      </c>
    </row>
    <row r="482" spans="2:22" ht="15.75" customHeight="1" x14ac:dyDescent="0.25">
      <c r="B482">
        <v>479</v>
      </c>
      <c r="C482" t="s">
        <v>1005</v>
      </c>
      <c r="D482" s="3" t="s">
        <v>1006</v>
      </c>
      <c r="E482" s="6">
        <v>2400</v>
      </c>
      <c r="F482" s="6">
        <v>12310</v>
      </c>
      <c r="G482" s="17">
        <f>ROUND(Table1[[#This Row],[pledged]]/Table1[[#This Row],[goal]]*100,2)</f>
        <v>512.91999999999996</v>
      </c>
      <c r="H482" s="5">
        <f>+Table1[[#This Row],[pledged]]/Table1[[#This Row],[goal]]</f>
        <v>5.1291666666666664</v>
      </c>
      <c r="I482" t="s">
        <v>20</v>
      </c>
      <c r="J482">
        <v>173</v>
      </c>
      <c r="K482" s="8">
        <f>IFERROR(Table1[[#This Row],[pledged]]/Table1[[#This Row],[backers_count]],"NA")</f>
        <v>71.156069364161851</v>
      </c>
      <c r="L482" t="s">
        <v>40</v>
      </c>
      <c r="M482" t="s">
        <v>41</v>
      </c>
      <c r="N482">
        <v>1501304400</v>
      </c>
      <c r="O482">
        <v>1501477200</v>
      </c>
      <c r="P482" s="11">
        <f>+(((Table1[[#This Row],[launched_at]]/60)/60)/24)+DATE(1970,1,1)</f>
        <v>42945.208333333328</v>
      </c>
      <c r="Q482" s="11">
        <f>+(((Table1[[#This Row],[deadline]]/60)/60)/24)+DATE(1970,1,1)</f>
        <v>42947.208333333328</v>
      </c>
      <c r="R482" t="b">
        <v>0</v>
      </c>
      <c r="S482" t="b">
        <v>0</v>
      </c>
      <c r="T482" t="s">
        <v>17</v>
      </c>
      <c r="U482" t="str">
        <f>+LEFT(Table1[[#This Row],[category &amp; sub-category]],FIND("/",Table1[[#This Row],[category &amp; sub-category]])-1)</f>
        <v>food</v>
      </c>
      <c r="V482" t="str">
        <f>+RIGHT(Table1[[#This Row],[category &amp; sub-category]],LEN(Table1[[#This Row],[category &amp; sub-category]])-SEARCH("/",Table1[[#This Row],[category &amp; sub-category]]))</f>
        <v>food trucks</v>
      </c>
    </row>
    <row r="483" spans="2:22" ht="15.75" customHeight="1" x14ac:dyDescent="0.25">
      <c r="B483">
        <v>480</v>
      </c>
      <c r="C483" t="s">
        <v>1007</v>
      </c>
      <c r="D483" s="3" t="s">
        <v>1008</v>
      </c>
      <c r="E483" s="6">
        <v>8600</v>
      </c>
      <c r="F483" s="6">
        <v>8656</v>
      </c>
      <c r="G483" s="17">
        <f>ROUND(Table1[[#This Row],[pledged]]/Table1[[#This Row],[goal]]*100,2)</f>
        <v>100.65</v>
      </c>
      <c r="H483" s="5">
        <f>+Table1[[#This Row],[pledged]]/Table1[[#This Row],[goal]]</f>
        <v>1.0065116279069768</v>
      </c>
      <c r="I483" t="s">
        <v>20</v>
      </c>
      <c r="J483">
        <v>87</v>
      </c>
      <c r="K483" s="8">
        <f>IFERROR(Table1[[#This Row],[pledged]]/Table1[[#This Row],[backers_count]],"NA")</f>
        <v>99.494252873563212</v>
      </c>
      <c r="L483" t="s">
        <v>21</v>
      </c>
      <c r="M483" t="s">
        <v>22</v>
      </c>
      <c r="N483">
        <v>1268287200</v>
      </c>
      <c r="O483">
        <v>1269061200</v>
      </c>
      <c r="P483" s="11">
        <f>+(((Table1[[#This Row],[launched_at]]/60)/60)/24)+DATE(1970,1,1)</f>
        <v>40248.25</v>
      </c>
      <c r="Q483" s="11">
        <f>+(((Table1[[#This Row],[deadline]]/60)/60)/24)+DATE(1970,1,1)</f>
        <v>40257.208333333336</v>
      </c>
      <c r="R483" t="b">
        <v>0</v>
      </c>
      <c r="S483" t="b">
        <v>1</v>
      </c>
      <c r="T483" t="s">
        <v>122</v>
      </c>
      <c r="U483" t="str">
        <f>+LEFT(Table1[[#This Row],[category &amp; sub-category]],FIND("/",Table1[[#This Row],[category &amp; sub-category]])-1)</f>
        <v>photography</v>
      </c>
      <c r="V483" t="str">
        <f>+RIGHT(Table1[[#This Row],[category &amp; sub-category]],LEN(Table1[[#This Row],[category &amp; sub-category]])-SEARCH("/",Table1[[#This Row],[category &amp; sub-category]]))</f>
        <v>photography books</v>
      </c>
    </row>
    <row r="484" spans="2:22" ht="15.75" customHeight="1" x14ac:dyDescent="0.25">
      <c r="B484">
        <v>481</v>
      </c>
      <c r="C484" t="s">
        <v>1009</v>
      </c>
      <c r="D484" s="3" t="s">
        <v>1010</v>
      </c>
      <c r="E484" s="6">
        <v>196600</v>
      </c>
      <c r="F484" s="6">
        <v>159931</v>
      </c>
      <c r="G484" s="17">
        <f>ROUND(Table1[[#This Row],[pledged]]/Table1[[#This Row],[goal]]*100,2)</f>
        <v>81.349999999999994</v>
      </c>
      <c r="H484" s="5">
        <f>+Table1[[#This Row],[pledged]]/Table1[[#This Row],[goal]]</f>
        <v>0.81348423194303154</v>
      </c>
      <c r="I484" t="s">
        <v>14</v>
      </c>
      <c r="J484">
        <v>1538</v>
      </c>
      <c r="K484" s="8">
        <f>IFERROR(Table1[[#This Row],[pledged]]/Table1[[#This Row],[backers_count]],"NA")</f>
        <v>103.98634590377114</v>
      </c>
      <c r="L484" t="s">
        <v>21</v>
      </c>
      <c r="M484" t="s">
        <v>22</v>
      </c>
      <c r="N484">
        <v>1412139600</v>
      </c>
      <c r="O484">
        <v>1415772000</v>
      </c>
      <c r="P484" s="11">
        <f>+(((Table1[[#This Row],[launched_at]]/60)/60)/24)+DATE(1970,1,1)</f>
        <v>41913.208333333336</v>
      </c>
      <c r="Q484" s="11">
        <f>+(((Table1[[#This Row],[deadline]]/60)/60)/24)+DATE(1970,1,1)</f>
        <v>41955.25</v>
      </c>
      <c r="R484" t="b">
        <v>0</v>
      </c>
      <c r="S484" t="b">
        <v>1</v>
      </c>
      <c r="T484" t="s">
        <v>33</v>
      </c>
      <c r="U484" t="str">
        <f>+LEFT(Table1[[#This Row],[category &amp; sub-category]],FIND("/",Table1[[#This Row],[category &amp; sub-category]])-1)</f>
        <v>theater</v>
      </c>
      <c r="V484" t="str">
        <f>+RIGHT(Table1[[#This Row],[category &amp; sub-category]],LEN(Table1[[#This Row],[category &amp; sub-category]])-SEARCH("/",Table1[[#This Row],[category &amp; sub-category]]))</f>
        <v>plays</v>
      </c>
    </row>
    <row r="485" spans="2:22" ht="15.75" customHeight="1" x14ac:dyDescent="0.25">
      <c r="B485">
        <v>482</v>
      </c>
      <c r="C485" t="s">
        <v>1011</v>
      </c>
      <c r="D485" s="3" t="s">
        <v>1012</v>
      </c>
      <c r="E485" s="6">
        <v>4200</v>
      </c>
      <c r="F485" s="6">
        <v>689</v>
      </c>
      <c r="G485" s="17">
        <f>ROUND(Table1[[#This Row],[pledged]]/Table1[[#This Row],[goal]]*100,2)</f>
        <v>16.399999999999999</v>
      </c>
      <c r="H485" s="5">
        <f>+Table1[[#This Row],[pledged]]/Table1[[#This Row],[goal]]</f>
        <v>0.16404761904761905</v>
      </c>
      <c r="I485" t="s">
        <v>14</v>
      </c>
      <c r="J485">
        <v>9</v>
      </c>
      <c r="K485" s="8">
        <f>IFERROR(Table1[[#This Row],[pledged]]/Table1[[#This Row],[backers_count]],"NA")</f>
        <v>76.555555555555557</v>
      </c>
      <c r="L485" t="s">
        <v>21</v>
      </c>
      <c r="M485" t="s">
        <v>22</v>
      </c>
      <c r="N485">
        <v>1330063200</v>
      </c>
      <c r="O485">
        <v>1331013600</v>
      </c>
      <c r="P485" s="11">
        <f>+(((Table1[[#This Row],[launched_at]]/60)/60)/24)+DATE(1970,1,1)</f>
        <v>40963.25</v>
      </c>
      <c r="Q485" s="11">
        <f>+(((Table1[[#This Row],[deadline]]/60)/60)/24)+DATE(1970,1,1)</f>
        <v>40974.25</v>
      </c>
      <c r="R485" t="b">
        <v>0</v>
      </c>
      <c r="S485" t="b">
        <v>1</v>
      </c>
      <c r="T485" t="s">
        <v>119</v>
      </c>
      <c r="U485" t="str">
        <f>+LEFT(Table1[[#This Row],[category &amp; sub-category]],FIND("/",Table1[[#This Row],[category &amp; sub-category]])-1)</f>
        <v>publishing</v>
      </c>
      <c r="V485" t="str">
        <f>+RIGHT(Table1[[#This Row],[category &amp; sub-category]],LEN(Table1[[#This Row],[category &amp; sub-category]])-SEARCH("/",Table1[[#This Row],[category &amp; sub-category]]))</f>
        <v>fiction</v>
      </c>
    </row>
    <row r="486" spans="2:22" ht="15.75" customHeight="1" x14ac:dyDescent="0.25">
      <c r="B486">
        <v>483</v>
      </c>
      <c r="C486" t="s">
        <v>1013</v>
      </c>
      <c r="D486" s="3" t="s">
        <v>1014</v>
      </c>
      <c r="E486" s="6">
        <v>91400</v>
      </c>
      <c r="F486" s="6">
        <v>48236</v>
      </c>
      <c r="G486" s="17">
        <f>ROUND(Table1[[#This Row],[pledged]]/Table1[[#This Row],[goal]]*100,2)</f>
        <v>52.77</v>
      </c>
      <c r="H486" s="5">
        <f>+Table1[[#This Row],[pledged]]/Table1[[#This Row],[goal]]</f>
        <v>0.52774617067833696</v>
      </c>
      <c r="I486" t="s">
        <v>14</v>
      </c>
      <c r="J486">
        <v>554</v>
      </c>
      <c r="K486" s="8">
        <f>IFERROR(Table1[[#This Row],[pledged]]/Table1[[#This Row],[backers_count]],"NA")</f>
        <v>87.068592057761734</v>
      </c>
      <c r="L486" t="s">
        <v>21</v>
      </c>
      <c r="M486" t="s">
        <v>22</v>
      </c>
      <c r="N486">
        <v>1576130400</v>
      </c>
      <c r="O486">
        <v>1576735200</v>
      </c>
      <c r="P486" s="11">
        <f>+(((Table1[[#This Row],[launched_at]]/60)/60)/24)+DATE(1970,1,1)</f>
        <v>43811.25</v>
      </c>
      <c r="Q486" s="11">
        <f>+(((Table1[[#This Row],[deadline]]/60)/60)/24)+DATE(1970,1,1)</f>
        <v>43818.25</v>
      </c>
      <c r="R486" t="b">
        <v>0</v>
      </c>
      <c r="S486" t="b">
        <v>0</v>
      </c>
      <c r="T486" t="s">
        <v>33</v>
      </c>
      <c r="U486" t="str">
        <f>+LEFT(Table1[[#This Row],[category &amp; sub-category]],FIND("/",Table1[[#This Row],[category &amp; sub-category]])-1)</f>
        <v>theater</v>
      </c>
      <c r="V486" t="str">
        <f>+RIGHT(Table1[[#This Row],[category &amp; sub-category]],LEN(Table1[[#This Row],[category &amp; sub-category]])-SEARCH("/",Table1[[#This Row],[category &amp; sub-category]]))</f>
        <v>plays</v>
      </c>
    </row>
    <row r="487" spans="2:22" ht="15.75" customHeight="1" x14ac:dyDescent="0.25">
      <c r="B487">
        <v>484</v>
      </c>
      <c r="C487" t="s">
        <v>1015</v>
      </c>
      <c r="D487" s="3" t="s">
        <v>1016</v>
      </c>
      <c r="E487" s="6">
        <v>29600</v>
      </c>
      <c r="F487" s="6">
        <v>77021</v>
      </c>
      <c r="G487" s="17">
        <f>ROUND(Table1[[#This Row],[pledged]]/Table1[[#This Row],[goal]]*100,2)</f>
        <v>260.20999999999998</v>
      </c>
      <c r="H487" s="5">
        <f>+Table1[[#This Row],[pledged]]/Table1[[#This Row],[goal]]</f>
        <v>2.6020608108108108</v>
      </c>
      <c r="I487" t="s">
        <v>20</v>
      </c>
      <c r="J487">
        <v>1572</v>
      </c>
      <c r="K487" s="8">
        <f>IFERROR(Table1[[#This Row],[pledged]]/Table1[[#This Row],[backers_count]],"NA")</f>
        <v>48.99554707379135</v>
      </c>
      <c r="L487" t="s">
        <v>40</v>
      </c>
      <c r="M487" t="s">
        <v>41</v>
      </c>
      <c r="N487">
        <v>1407128400</v>
      </c>
      <c r="O487">
        <v>1411362000</v>
      </c>
      <c r="P487" s="11">
        <f>+(((Table1[[#This Row],[launched_at]]/60)/60)/24)+DATE(1970,1,1)</f>
        <v>41855.208333333336</v>
      </c>
      <c r="Q487" s="11">
        <f>+(((Table1[[#This Row],[deadline]]/60)/60)/24)+DATE(1970,1,1)</f>
        <v>41904.208333333336</v>
      </c>
      <c r="R487" t="b">
        <v>0</v>
      </c>
      <c r="S487" t="b">
        <v>1</v>
      </c>
      <c r="T487" t="s">
        <v>17</v>
      </c>
      <c r="U487" t="str">
        <f>+LEFT(Table1[[#This Row],[category &amp; sub-category]],FIND("/",Table1[[#This Row],[category &amp; sub-category]])-1)</f>
        <v>food</v>
      </c>
      <c r="V487" t="str">
        <f>+RIGHT(Table1[[#This Row],[category &amp; sub-category]],LEN(Table1[[#This Row],[category &amp; sub-category]])-SEARCH("/",Table1[[#This Row],[category &amp; sub-category]]))</f>
        <v>food trucks</v>
      </c>
    </row>
    <row r="488" spans="2:22" ht="15.75" customHeight="1" x14ac:dyDescent="0.25">
      <c r="B488">
        <v>485</v>
      </c>
      <c r="C488" t="s">
        <v>1017</v>
      </c>
      <c r="D488" s="3" t="s">
        <v>1018</v>
      </c>
      <c r="E488" s="6">
        <v>90600</v>
      </c>
      <c r="F488" s="6">
        <v>27844</v>
      </c>
      <c r="G488" s="17">
        <f>ROUND(Table1[[#This Row],[pledged]]/Table1[[#This Row],[goal]]*100,2)</f>
        <v>30.73</v>
      </c>
      <c r="H488" s="5">
        <f>+Table1[[#This Row],[pledged]]/Table1[[#This Row],[goal]]</f>
        <v>0.30732891832229581</v>
      </c>
      <c r="I488" t="s">
        <v>14</v>
      </c>
      <c r="J488">
        <v>648</v>
      </c>
      <c r="K488" s="8">
        <f>IFERROR(Table1[[#This Row],[pledged]]/Table1[[#This Row],[backers_count]],"NA")</f>
        <v>42.969135802469133</v>
      </c>
      <c r="L488" t="s">
        <v>40</v>
      </c>
      <c r="M488" t="s">
        <v>41</v>
      </c>
      <c r="N488">
        <v>1560142800</v>
      </c>
      <c r="O488">
        <v>1563685200</v>
      </c>
      <c r="P488" s="11">
        <f>+(((Table1[[#This Row],[launched_at]]/60)/60)/24)+DATE(1970,1,1)</f>
        <v>43626.208333333328</v>
      </c>
      <c r="Q488" s="11">
        <f>+(((Table1[[#This Row],[deadline]]/60)/60)/24)+DATE(1970,1,1)</f>
        <v>43667.208333333328</v>
      </c>
      <c r="R488" t="b">
        <v>0</v>
      </c>
      <c r="S488" t="b">
        <v>0</v>
      </c>
      <c r="T488" t="s">
        <v>33</v>
      </c>
      <c r="U488" t="str">
        <f>+LEFT(Table1[[#This Row],[category &amp; sub-category]],FIND("/",Table1[[#This Row],[category &amp; sub-category]])-1)</f>
        <v>theater</v>
      </c>
      <c r="V488" t="str">
        <f>+RIGHT(Table1[[#This Row],[category &amp; sub-category]],LEN(Table1[[#This Row],[category &amp; sub-category]])-SEARCH("/",Table1[[#This Row],[category &amp; sub-category]]))</f>
        <v>plays</v>
      </c>
    </row>
    <row r="489" spans="2:22" ht="15.75" customHeight="1" x14ac:dyDescent="0.25">
      <c r="B489">
        <v>486</v>
      </c>
      <c r="C489" t="s">
        <v>1019</v>
      </c>
      <c r="D489" s="3" t="s">
        <v>1020</v>
      </c>
      <c r="E489" s="6">
        <v>5200</v>
      </c>
      <c r="F489" s="6">
        <v>702</v>
      </c>
      <c r="G489" s="17">
        <f>ROUND(Table1[[#This Row],[pledged]]/Table1[[#This Row],[goal]]*100,2)</f>
        <v>13.5</v>
      </c>
      <c r="H489" s="5">
        <f>+Table1[[#This Row],[pledged]]/Table1[[#This Row],[goal]]</f>
        <v>0.13500000000000001</v>
      </c>
      <c r="I489" t="s">
        <v>14</v>
      </c>
      <c r="J489">
        <v>21</v>
      </c>
      <c r="K489" s="8">
        <f>IFERROR(Table1[[#This Row],[pledged]]/Table1[[#This Row],[backers_count]],"NA")</f>
        <v>33.428571428571431</v>
      </c>
      <c r="L489" t="s">
        <v>40</v>
      </c>
      <c r="M489" t="s">
        <v>41</v>
      </c>
      <c r="N489">
        <v>1520575200</v>
      </c>
      <c r="O489">
        <v>1521867600</v>
      </c>
      <c r="P489" s="11">
        <f>+(((Table1[[#This Row],[launched_at]]/60)/60)/24)+DATE(1970,1,1)</f>
        <v>43168.25</v>
      </c>
      <c r="Q489" s="11">
        <f>+(((Table1[[#This Row],[deadline]]/60)/60)/24)+DATE(1970,1,1)</f>
        <v>43183.208333333328</v>
      </c>
      <c r="R489" t="b">
        <v>0</v>
      </c>
      <c r="S489" t="b">
        <v>1</v>
      </c>
      <c r="T489" t="s">
        <v>206</v>
      </c>
      <c r="U489" t="str">
        <f>+LEFT(Table1[[#This Row],[category &amp; sub-category]],FIND("/",Table1[[#This Row],[category &amp; sub-category]])-1)</f>
        <v>publishing</v>
      </c>
      <c r="V489" t="str">
        <f>+RIGHT(Table1[[#This Row],[category &amp; sub-category]],LEN(Table1[[#This Row],[category &amp; sub-category]])-SEARCH("/",Table1[[#This Row],[category &amp; sub-category]]))</f>
        <v>translations</v>
      </c>
    </row>
    <row r="490" spans="2:22" ht="15.75" customHeight="1" x14ac:dyDescent="0.25">
      <c r="B490">
        <v>487</v>
      </c>
      <c r="C490" t="s">
        <v>1021</v>
      </c>
      <c r="D490" s="3" t="s">
        <v>1022</v>
      </c>
      <c r="E490" s="6">
        <v>110300</v>
      </c>
      <c r="F490" s="6">
        <v>197024</v>
      </c>
      <c r="G490" s="17">
        <f>ROUND(Table1[[#This Row],[pledged]]/Table1[[#This Row],[goal]]*100,2)</f>
        <v>178.63</v>
      </c>
      <c r="H490" s="5">
        <f>+Table1[[#This Row],[pledged]]/Table1[[#This Row],[goal]]</f>
        <v>1.7862556663644606</v>
      </c>
      <c r="I490" t="s">
        <v>20</v>
      </c>
      <c r="J490">
        <v>2346</v>
      </c>
      <c r="K490" s="8">
        <f>IFERROR(Table1[[#This Row],[pledged]]/Table1[[#This Row],[backers_count]],"NA")</f>
        <v>83.982949701619773</v>
      </c>
      <c r="L490" t="s">
        <v>21</v>
      </c>
      <c r="M490" t="s">
        <v>22</v>
      </c>
      <c r="N490">
        <v>1492664400</v>
      </c>
      <c r="O490">
        <v>1495515600</v>
      </c>
      <c r="P490" s="11">
        <f>+(((Table1[[#This Row],[launched_at]]/60)/60)/24)+DATE(1970,1,1)</f>
        <v>42845.208333333328</v>
      </c>
      <c r="Q490" s="11">
        <f>+(((Table1[[#This Row],[deadline]]/60)/60)/24)+DATE(1970,1,1)</f>
        <v>42878.208333333328</v>
      </c>
      <c r="R490" t="b">
        <v>0</v>
      </c>
      <c r="S490" t="b">
        <v>0</v>
      </c>
      <c r="T490" t="s">
        <v>33</v>
      </c>
      <c r="U490" t="str">
        <f>+LEFT(Table1[[#This Row],[category &amp; sub-category]],FIND("/",Table1[[#This Row],[category &amp; sub-category]])-1)</f>
        <v>theater</v>
      </c>
      <c r="V490" t="str">
        <f>+RIGHT(Table1[[#This Row],[category &amp; sub-category]],LEN(Table1[[#This Row],[category &amp; sub-category]])-SEARCH("/",Table1[[#This Row],[category &amp; sub-category]]))</f>
        <v>plays</v>
      </c>
    </row>
    <row r="491" spans="2:22" ht="15.75" customHeight="1" x14ac:dyDescent="0.25">
      <c r="B491">
        <v>488</v>
      </c>
      <c r="C491" t="s">
        <v>1023</v>
      </c>
      <c r="D491" s="3" t="s">
        <v>1024</v>
      </c>
      <c r="E491" s="6">
        <v>5300</v>
      </c>
      <c r="F491" s="6">
        <v>11663</v>
      </c>
      <c r="G491" s="17">
        <f>ROUND(Table1[[#This Row],[pledged]]/Table1[[#This Row],[goal]]*100,2)</f>
        <v>220.06</v>
      </c>
      <c r="H491" s="5">
        <f>+Table1[[#This Row],[pledged]]/Table1[[#This Row],[goal]]</f>
        <v>2.2005660377358489</v>
      </c>
      <c r="I491" t="s">
        <v>20</v>
      </c>
      <c r="J491">
        <v>115</v>
      </c>
      <c r="K491" s="8">
        <f>IFERROR(Table1[[#This Row],[pledged]]/Table1[[#This Row],[backers_count]],"NA")</f>
        <v>101.41739130434783</v>
      </c>
      <c r="L491" t="s">
        <v>21</v>
      </c>
      <c r="M491" t="s">
        <v>22</v>
      </c>
      <c r="N491">
        <v>1454479200</v>
      </c>
      <c r="O491">
        <v>1455948000</v>
      </c>
      <c r="P491" s="11">
        <f>+(((Table1[[#This Row],[launched_at]]/60)/60)/24)+DATE(1970,1,1)</f>
        <v>42403.25</v>
      </c>
      <c r="Q491" s="11">
        <f>+(((Table1[[#This Row],[deadline]]/60)/60)/24)+DATE(1970,1,1)</f>
        <v>42420.25</v>
      </c>
      <c r="R491" t="b">
        <v>0</v>
      </c>
      <c r="S491" t="b">
        <v>0</v>
      </c>
      <c r="T491" t="s">
        <v>33</v>
      </c>
      <c r="U491" t="str">
        <f>+LEFT(Table1[[#This Row],[category &amp; sub-category]],FIND("/",Table1[[#This Row],[category &amp; sub-category]])-1)</f>
        <v>theater</v>
      </c>
      <c r="V491" t="str">
        <f>+RIGHT(Table1[[#This Row],[category &amp; sub-category]],LEN(Table1[[#This Row],[category &amp; sub-category]])-SEARCH("/",Table1[[#This Row],[category &amp; sub-category]]))</f>
        <v>plays</v>
      </c>
    </row>
    <row r="492" spans="2:22" ht="15.75" customHeight="1" x14ac:dyDescent="0.25">
      <c r="B492">
        <v>489</v>
      </c>
      <c r="C492" t="s">
        <v>1025</v>
      </c>
      <c r="D492" s="3" t="s">
        <v>1026</v>
      </c>
      <c r="E492" s="6">
        <v>9200</v>
      </c>
      <c r="F492" s="6">
        <v>9339</v>
      </c>
      <c r="G492" s="17">
        <f>ROUND(Table1[[#This Row],[pledged]]/Table1[[#This Row],[goal]]*100,2)</f>
        <v>101.51</v>
      </c>
      <c r="H492" s="5">
        <f>+Table1[[#This Row],[pledged]]/Table1[[#This Row],[goal]]</f>
        <v>1.015108695652174</v>
      </c>
      <c r="I492" t="s">
        <v>20</v>
      </c>
      <c r="J492">
        <v>85</v>
      </c>
      <c r="K492" s="8">
        <f>IFERROR(Table1[[#This Row],[pledged]]/Table1[[#This Row],[backers_count]],"NA")</f>
        <v>109.87058823529412</v>
      </c>
      <c r="L492" t="s">
        <v>107</v>
      </c>
      <c r="M492" t="s">
        <v>108</v>
      </c>
      <c r="N492">
        <v>1281934800</v>
      </c>
      <c r="O492">
        <v>1282366800</v>
      </c>
      <c r="P492" s="11">
        <f>+(((Table1[[#This Row],[launched_at]]/60)/60)/24)+DATE(1970,1,1)</f>
        <v>40406.208333333336</v>
      </c>
      <c r="Q492" s="11">
        <f>+(((Table1[[#This Row],[deadline]]/60)/60)/24)+DATE(1970,1,1)</f>
        <v>40411.208333333336</v>
      </c>
      <c r="R492" t="b">
        <v>0</v>
      </c>
      <c r="S492" t="b">
        <v>0</v>
      </c>
      <c r="T492" t="s">
        <v>65</v>
      </c>
      <c r="U492" t="str">
        <f>+LEFT(Table1[[#This Row],[category &amp; sub-category]],FIND("/",Table1[[#This Row],[category &amp; sub-category]])-1)</f>
        <v>technology</v>
      </c>
      <c r="V492" t="str">
        <f>+RIGHT(Table1[[#This Row],[category &amp; sub-category]],LEN(Table1[[#This Row],[category &amp; sub-category]])-SEARCH("/",Table1[[#This Row],[category &amp; sub-category]]))</f>
        <v>wearables</v>
      </c>
    </row>
    <row r="493" spans="2:22" ht="15.75" customHeight="1" x14ac:dyDescent="0.25">
      <c r="B493">
        <v>490</v>
      </c>
      <c r="C493" t="s">
        <v>1027</v>
      </c>
      <c r="D493" s="3" t="s">
        <v>1028</v>
      </c>
      <c r="E493" s="6">
        <v>2400</v>
      </c>
      <c r="F493" s="6">
        <v>4596</v>
      </c>
      <c r="G493" s="17">
        <f>ROUND(Table1[[#This Row],[pledged]]/Table1[[#This Row],[goal]]*100,2)</f>
        <v>191.5</v>
      </c>
      <c r="H493" s="5">
        <f>+Table1[[#This Row],[pledged]]/Table1[[#This Row],[goal]]</f>
        <v>1.915</v>
      </c>
      <c r="I493" t="s">
        <v>20</v>
      </c>
      <c r="J493">
        <v>144</v>
      </c>
      <c r="K493" s="8">
        <f>IFERROR(Table1[[#This Row],[pledged]]/Table1[[#This Row],[backers_count]],"NA")</f>
        <v>31.916666666666668</v>
      </c>
      <c r="L493" t="s">
        <v>21</v>
      </c>
      <c r="M493" t="s">
        <v>22</v>
      </c>
      <c r="N493">
        <v>1573970400</v>
      </c>
      <c r="O493">
        <v>1574575200</v>
      </c>
      <c r="P493" s="11">
        <f>+(((Table1[[#This Row],[launched_at]]/60)/60)/24)+DATE(1970,1,1)</f>
        <v>43786.25</v>
      </c>
      <c r="Q493" s="11">
        <f>+(((Table1[[#This Row],[deadline]]/60)/60)/24)+DATE(1970,1,1)</f>
        <v>43793.25</v>
      </c>
      <c r="R493" t="b">
        <v>0</v>
      </c>
      <c r="S493" t="b">
        <v>0</v>
      </c>
      <c r="T493" t="s">
        <v>1029</v>
      </c>
      <c r="U493" t="str">
        <f>+LEFT(Table1[[#This Row],[category &amp; sub-category]],FIND("/",Table1[[#This Row],[category &amp; sub-category]])-1)</f>
        <v>journalism</v>
      </c>
      <c r="V493" t="str">
        <f>+RIGHT(Table1[[#This Row],[category &amp; sub-category]],LEN(Table1[[#This Row],[category &amp; sub-category]])-SEARCH("/",Table1[[#This Row],[category &amp; sub-category]]))</f>
        <v>audio</v>
      </c>
    </row>
    <row r="494" spans="2:22" ht="15.75" customHeight="1" x14ac:dyDescent="0.25">
      <c r="B494">
        <v>491</v>
      </c>
      <c r="C494" t="s">
        <v>1030</v>
      </c>
      <c r="D494" s="3" t="s">
        <v>1031</v>
      </c>
      <c r="E494" s="6">
        <v>56800</v>
      </c>
      <c r="F494" s="6">
        <v>173437</v>
      </c>
      <c r="G494" s="17">
        <f>ROUND(Table1[[#This Row],[pledged]]/Table1[[#This Row],[goal]]*100,2)</f>
        <v>305.35000000000002</v>
      </c>
      <c r="H494" s="5">
        <f>+Table1[[#This Row],[pledged]]/Table1[[#This Row],[goal]]</f>
        <v>3.0534683098591549</v>
      </c>
      <c r="I494" t="s">
        <v>20</v>
      </c>
      <c r="J494">
        <v>2443</v>
      </c>
      <c r="K494" s="8">
        <f>IFERROR(Table1[[#This Row],[pledged]]/Table1[[#This Row],[backers_count]],"NA")</f>
        <v>70.993450675399103</v>
      </c>
      <c r="L494" t="s">
        <v>21</v>
      </c>
      <c r="M494" t="s">
        <v>22</v>
      </c>
      <c r="N494">
        <v>1372654800</v>
      </c>
      <c r="O494">
        <v>1374901200</v>
      </c>
      <c r="P494" s="11">
        <f>+(((Table1[[#This Row],[launched_at]]/60)/60)/24)+DATE(1970,1,1)</f>
        <v>41456.208333333336</v>
      </c>
      <c r="Q494" s="11">
        <f>+(((Table1[[#This Row],[deadline]]/60)/60)/24)+DATE(1970,1,1)</f>
        <v>41482.208333333336</v>
      </c>
      <c r="R494" t="b">
        <v>0</v>
      </c>
      <c r="S494" t="b">
        <v>1</v>
      </c>
      <c r="T494" t="s">
        <v>17</v>
      </c>
      <c r="U494" t="str">
        <f>+LEFT(Table1[[#This Row],[category &amp; sub-category]],FIND("/",Table1[[#This Row],[category &amp; sub-category]])-1)</f>
        <v>food</v>
      </c>
      <c r="V494" t="str">
        <f>+RIGHT(Table1[[#This Row],[category &amp; sub-category]],LEN(Table1[[#This Row],[category &amp; sub-category]])-SEARCH("/",Table1[[#This Row],[category &amp; sub-category]]))</f>
        <v>food trucks</v>
      </c>
    </row>
    <row r="495" spans="2:22" ht="15.75" customHeight="1" x14ac:dyDescent="0.25">
      <c r="B495">
        <v>492</v>
      </c>
      <c r="C495" t="s">
        <v>1032</v>
      </c>
      <c r="D495" s="3" t="s">
        <v>1033</v>
      </c>
      <c r="E495" s="6">
        <v>191000</v>
      </c>
      <c r="F495" s="6">
        <v>45831</v>
      </c>
      <c r="G495" s="17">
        <f>ROUND(Table1[[#This Row],[pledged]]/Table1[[#This Row],[goal]]*100,2)</f>
        <v>24</v>
      </c>
      <c r="H495" s="5">
        <f>+Table1[[#This Row],[pledged]]/Table1[[#This Row],[goal]]</f>
        <v>0.23995287958115183</v>
      </c>
      <c r="I495" t="s">
        <v>74</v>
      </c>
      <c r="J495">
        <v>595</v>
      </c>
      <c r="K495" s="8">
        <f>IFERROR(Table1[[#This Row],[pledged]]/Table1[[#This Row],[backers_count]],"NA")</f>
        <v>77.026890756302521</v>
      </c>
      <c r="L495" t="s">
        <v>21</v>
      </c>
      <c r="M495" t="s">
        <v>22</v>
      </c>
      <c r="N495">
        <v>1275886800</v>
      </c>
      <c r="O495">
        <v>1278910800</v>
      </c>
      <c r="P495" s="11">
        <f>+(((Table1[[#This Row],[launched_at]]/60)/60)/24)+DATE(1970,1,1)</f>
        <v>40336.208333333336</v>
      </c>
      <c r="Q495" s="11">
        <f>+(((Table1[[#This Row],[deadline]]/60)/60)/24)+DATE(1970,1,1)</f>
        <v>40371.208333333336</v>
      </c>
      <c r="R495" t="b">
        <v>1</v>
      </c>
      <c r="S495" t="b">
        <v>1</v>
      </c>
      <c r="T495" t="s">
        <v>100</v>
      </c>
      <c r="U495" t="str">
        <f>+LEFT(Table1[[#This Row],[category &amp; sub-category]],FIND("/",Table1[[#This Row],[category &amp; sub-category]])-1)</f>
        <v>film &amp; video</v>
      </c>
      <c r="V495" t="str">
        <f>+RIGHT(Table1[[#This Row],[category &amp; sub-category]],LEN(Table1[[#This Row],[category &amp; sub-category]])-SEARCH("/",Table1[[#This Row],[category &amp; sub-category]]))</f>
        <v>shorts</v>
      </c>
    </row>
    <row r="496" spans="2:22" ht="15.75" customHeight="1" x14ac:dyDescent="0.25">
      <c r="B496">
        <v>493</v>
      </c>
      <c r="C496" t="s">
        <v>1034</v>
      </c>
      <c r="D496" s="3" t="s">
        <v>1035</v>
      </c>
      <c r="E496" s="6">
        <v>900</v>
      </c>
      <c r="F496" s="6">
        <v>6514</v>
      </c>
      <c r="G496" s="17">
        <f>ROUND(Table1[[#This Row],[pledged]]/Table1[[#This Row],[goal]]*100,2)</f>
        <v>723.78</v>
      </c>
      <c r="H496" s="5">
        <f>+Table1[[#This Row],[pledged]]/Table1[[#This Row],[goal]]</f>
        <v>7.2377777777777776</v>
      </c>
      <c r="I496" t="s">
        <v>20</v>
      </c>
      <c r="J496">
        <v>64</v>
      </c>
      <c r="K496" s="8">
        <f>IFERROR(Table1[[#This Row],[pledged]]/Table1[[#This Row],[backers_count]],"NA")</f>
        <v>101.78125</v>
      </c>
      <c r="L496" t="s">
        <v>21</v>
      </c>
      <c r="M496" t="s">
        <v>22</v>
      </c>
      <c r="N496">
        <v>1561784400</v>
      </c>
      <c r="O496">
        <v>1562907600</v>
      </c>
      <c r="P496" s="11">
        <f>+(((Table1[[#This Row],[launched_at]]/60)/60)/24)+DATE(1970,1,1)</f>
        <v>43645.208333333328</v>
      </c>
      <c r="Q496" s="11">
        <f>+(((Table1[[#This Row],[deadline]]/60)/60)/24)+DATE(1970,1,1)</f>
        <v>43658.208333333328</v>
      </c>
      <c r="R496" t="b">
        <v>0</v>
      </c>
      <c r="S496" t="b">
        <v>0</v>
      </c>
      <c r="T496" t="s">
        <v>122</v>
      </c>
      <c r="U496" t="str">
        <f>+LEFT(Table1[[#This Row],[category &amp; sub-category]],FIND("/",Table1[[#This Row],[category &amp; sub-category]])-1)</f>
        <v>photography</v>
      </c>
      <c r="V496" t="str">
        <f>+RIGHT(Table1[[#This Row],[category &amp; sub-category]],LEN(Table1[[#This Row],[category &amp; sub-category]])-SEARCH("/",Table1[[#This Row],[category &amp; sub-category]]))</f>
        <v>photography books</v>
      </c>
    </row>
    <row r="497" spans="2:22" ht="15.75" customHeight="1" x14ac:dyDescent="0.25">
      <c r="B497">
        <v>494</v>
      </c>
      <c r="C497" t="s">
        <v>1036</v>
      </c>
      <c r="D497" s="3" t="s">
        <v>1037</v>
      </c>
      <c r="E497" s="6">
        <v>2500</v>
      </c>
      <c r="F497" s="6">
        <v>13684</v>
      </c>
      <c r="G497" s="17">
        <f>ROUND(Table1[[#This Row],[pledged]]/Table1[[#This Row],[goal]]*100,2)</f>
        <v>547.36</v>
      </c>
      <c r="H497" s="5">
        <f>+Table1[[#This Row],[pledged]]/Table1[[#This Row],[goal]]</f>
        <v>5.4736000000000002</v>
      </c>
      <c r="I497" t="s">
        <v>20</v>
      </c>
      <c r="J497">
        <v>268</v>
      </c>
      <c r="K497" s="8">
        <f>IFERROR(Table1[[#This Row],[pledged]]/Table1[[#This Row],[backers_count]],"NA")</f>
        <v>51.059701492537314</v>
      </c>
      <c r="L497" t="s">
        <v>21</v>
      </c>
      <c r="M497" t="s">
        <v>22</v>
      </c>
      <c r="N497">
        <v>1332392400</v>
      </c>
      <c r="O497">
        <v>1332478800</v>
      </c>
      <c r="P497" s="11">
        <f>+(((Table1[[#This Row],[launched_at]]/60)/60)/24)+DATE(1970,1,1)</f>
        <v>40990.208333333336</v>
      </c>
      <c r="Q497" s="11">
        <f>+(((Table1[[#This Row],[deadline]]/60)/60)/24)+DATE(1970,1,1)</f>
        <v>40991.208333333336</v>
      </c>
      <c r="R497" t="b">
        <v>0</v>
      </c>
      <c r="S497" t="b">
        <v>0</v>
      </c>
      <c r="T497" t="s">
        <v>65</v>
      </c>
      <c r="U497" t="str">
        <f>+LEFT(Table1[[#This Row],[category &amp; sub-category]],FIND("/",Table1[[#This Row],[category &amp; sub-category]])-1)</f>
        <v>technology</v>
      </c>
      <c r="V497" t="str">
        <f>+RIGHT(Table1[[#This Row],[category &amp; sub-category]],LEN(Table1[[#This Row],[category &amp; sub-category]])-SEARCH("/",Table1[[#This Row],[category &amp; sub-category]]))</f>
        <v>wearables</v>
      </c>
    </row>
    <row r="498" spans="2:22" ht="15.75" customHeight="1" x14ac:dyDescent="0.25">
      <c r="B498">
        <v>495</v>
      </c>
      <c r="C498" t="s">
        <v>1038</v>
      </c>
      <c r="D498" s="3" t="s">
        <v>1039</v>
      </c>
      <c r="E498" s="6">
        <v>3200</v>
      </c>
      <c r="F498" s="6">
        <v>13264</v>
      </c>
      <c r="G498" s="17">
        <f>ROUND(Table1[[#This Row],[pledged]]/Table1[[#This Row],[goal]]*100,2)</f>
        <v>414.5</v>
      </c>
      <c r="H498" s="5">
        <f>+Table1[[#This Row],[pledged]]/Table1[[#This Row],[goal]]</f>
        <v>4.1449999999999996</v>
      </c>
      <c r="I498" t="s">
        <v>20</v>
      </c>
      <c r="J498">
        <v>195</v>
      </c>
      <c r="K498" s="8">
        <f>IFERROR(Table1[[#This Row],[pledged]]/Table1[[#This Row],[backers_count]],"NA")</f>
        <v>68.02051282051282</v>
      </c>
      <c r="L498" t="s">
        <v>36</v>
      </c>
      <c r="M498" t="s">
        <v>37</v>
      </c>
      <c r="N498">
        <v>1402376400</v>
      </c>
      <c r="O498">
        <v>1402722000</v>
      </c>
      <c r="P498" s="11">
        <f>+(((Table1[[#This Row],[launched_at]]/60)/60)/24)+DATE(1970,1,1)</f>
        <v>41800.208333333336</v>
      </c>
      <c r="Q498" s="11">
        <f>+(((Table1[[#This Row],[deadline]]/60)/60)/24)+DATE(1970,1,1)</f>
        <v>41804.208333333336</v>
      </c>
      <c r="R498" t="b">
        <v>0</v>
      </c>
      <c r="S498" t="b">
        <v>0</v>
      </c>
      <c r="T498" t="s">
        <v>33</v>
      </c>
      <c r="U498" t="str">
        <f>+LEFT(Table1[[#This Row],[category &amp; sub-category]],FIND("/",Table1[[#This Row],[category &amp; sub-category]])-1)</f>
        <v>theater</v>
      </c>
      <c r="V498" t="str">
        <f>+RIGHT(Table1[[#This Row],[category &amp; sub-category]],LEN(Table1[[#This Row],[category &amp; sub-category]])-SEARCH("/",Table1[[#This Row],[category &amp; sub-category]]))</f>
        <v>plays</v>
      </c>
    </row>
    <row r="499" spans="2:22" ht="15.75" customHeight="1" x14ac:dyDescent="0.25">
      <c r="B499">
        <v>496</v>
      </c>
      <c r="C499" t="s">
        <v>1040</v>
      </c>
      <c r="D499" s="3" t="s">
        <v>1041</v>
      </c>
      <c r="E499" s="6">
        <v>183800</v>
      </c>
      <c r="F499" s="6">
        <v>1667</v>
      </c>
      <c r="G499" s="17">
        <f>ROUND(Table1[[#This Row],[pledged]]/Table1[[#This Row],[goal]]*100,2)</f>
        <v>0.91</v>
      </c>
      <c r="H499" s="5">
        <f>+Table1[[#This Row],[pledged]]/Table1[[#This Row],[goal]]</f>
        <v>9.0696409140369975E-3</v>
      </c>
      <c r="I499" t="s">
        <v>14</v>
      </c>
      <c r="J499">
        <v>54</v>
      </c>
      <c r="K499" s="8">
        <f>IFERROR(Table1[[#This Row],[pledged]]/Table1[[#This Row],[backers_count]],"NA")</f>
        <v>30.87037037037037</v>
      </c>
      <c r="L499" t="s">
        <v>21</v>
      </c>
      <c r="M499" t="s">
        <v>22</v>
      </c>
      <c r="N499">
        <v>1495342800</v>
      </c>
      <c r="O499">
        <v>1496811600</v>
      </c>
      <c r="P499" s="11">
        <f>+(((Table1[[#This Row],[launched_at]]/60)/60)/24)+DATE(1970,1,1)</f>
        <v>42876.208333333328</v>
      </c>
      <c r="Q499" s="11">
        <f>+(((Table1[[#This Row],[deadline]]/60)/60)/24)+DATE(1970,1,1)</f>
        <v>42893.208333333328</v>
      </c>
      <c r="R499" t="b">
        <v>0</v>
      </c>
      <c r="S499" t="b">
        <v>0</v>
      </c>
      <c r="T499" t="s">
        <v>71</v>
      </c>
      <c r="U499" t="str">
        <f>+LEFT(Table1[[#This Row],[category &amp; sub-category]],FIND("/",Table1[[#This Row],[category &amp; sub-category]])-1)</f>
        <v>film &amp; video</v>
      </c>
      <c r="V499" t="str">
        <f>+RIGHT(Table1[[#This Row],[category &amp; sub-category]],LEN(Table1[[#This Row],[category &amp; sub-category]])-SEARCH("/",Table1[[#This Row],[category &amp; sub-category]]))</f>
        <v>animation</v>
      </c>
    </row>
    <row r="500" spans="2:22" ht="15.75" customHeight="1" x14ac:dyDescent="0.25">
      <c r="B500">
        <v>497</v>
      </c>
      <c r="C500" t="s">
        <v>1042</v>
      </c>
      <c r="D500" s="3" t="s">
        <v>1043</v>
      </c>
      <c r="E500" s="6">
        <v>9800</v>
      </c>
      <c r="F500" s="6">
        <v>3349</v>
      </c>
      <c r="G500" s="17">
        <f>ROUND(Table1[[#This Row],[pledged]]/Table1[[#This Row],[goal]]*100,2)</f>
        <v>34.17</v>
      </c>
      <c r="H500" s="5">
        <f>+Table1[[#This Row],[pledged]]/Table1[[#This Row],[goal]]</f>
        <v>0.34173469387755101</v>
      </c>
      <c r="I500" t="s">
        <v>14</v>
      </c>
      <c r="J500">
        <v>120</v>
      </c>
      <c r="K500" s="8">
        <f>IFERROR(Table1[[#This Row],[pledged]]/Table1[[#This Row],[backers_count]],"NA")</f>
        <v>27.908333333333335</v>
      </c>
      <c r="L500" t="s">
        <v>21</v>
      </c>
      <c r="M500" t="s">
        <v>22</v>
      </c>
      <c r="N500">
        <v>1482213600</v>
      </c>
      <c r="O500">
        <v>1482213600</v>
      </c>
      <c r="P500" s="11">
        <f>+(((Table1[[#This Row],[launched_at]]/60)/60)/24)+DATE(1970,1,1)</f>
        <v>42724.25</v>
      </c>
      <c r="Q500" s="11">
        <f>+(((Table1[[#This Row],[deadline]]/60)/60)/24)+DATE(1970,1,1)</f>
        <v>42724.25</v>
      </c>
      <c r="R500" t="b">
        <v>0</v>
      </c>
      <c r="S500" t="b">
        <v>1</v>
      </c>
      <c r="T500" t="s">
        <v>65</v>
      </c>
      <c r="U500" t="str">
        <f>+LEFT(Table1[[#This Row],[category &amp; sub-category]],FIND("/",Table1[[#This Row],[category &amp; sub-category]])-1)</f>
        <v>technology</v>
      </c>
      <c r="V500" t="str">
        <f>+RIGHT(Table1[[#This Row],[category &amp; sub-category]],LEN(Table1[[#This Row],[category &amp; sub-category]])-SEARCH("/",Table1[[#This Row],[category &amp; sub-category]]))</f>
        <v>wearables</v>
      </c>
    </row>
    <row r="501" spans="2:22" ht="15.75" customHeight="1" x14ac:dyDescent="0.25">
      <c r="B501">
        <v>498</v>
      </c>
      <c r="C501" t="s">
        <v>1044</v>
      </c>
      <c r="D501" s="3" t="s">
        <v>1045</v>
      </c>
      <c r="E501" s="6">
        <v>193400</v>
      </c>
      <c r="F501" s="6">
        <v>46317</v>
      </c>
      <c r="G501" s="17">
        <f>ROUND(Table1[[#This Row],[pledged]]/Table1[[#This Row],[goal]]*100,2)</f>
        <v>23.95</v>
      </c>
      <c r="H501" s="5">
        <f>+Table1[[#This Row],[pledged]]/Table1[[#This Row],[goal]]</f>
        <v>0.239488107549121</v>
      </c>
      <c r="I501" t="s">
        <v>14</v>
      </c>
      <c r="J501">
        <v>579</v>
      </c>
      <c r="K501" s="8">
        <f>IFERROR(Table1[[#This Row],[pledged]]/Table1[[#This Row],[backers_count]],"NA")</f>
        <v>79.994818652849744</v>
      </c>
      <c r="L501" t="s">
        <v>36</v>
      </c>
      <c r="M501" t="s">
        <v>37</v>
      </c>
      <c r="N501">
        <v>1420092000</v>
      </c>
      <c r="O501">
        <v>1420264800</v>
      </c>
      <c r="P501" s="11">
        <f>+(((Table1[[#This Row],[launched_at]]/60)/60)/24)+DATE(1970,1,1)</f>
        <v>42005.25</v>
      </c>
      <c r="Q501" s="11">
        <f>+(((Table1[[#This Row],[deadline]]/60)/60)/24)+DATE(1970,1,1)</f>
        <v>42007.25</v>
      </c>
      <c r="R501" t="b">
        <v>0</v>
      </c>
      <c r="S501" t="b">
        <v>0</v>
      </c>
      <c r="T501" t="s">
        <v>28</v>
      </c>
      <c r="U501" t="str">
        <f>+LEFT(Table1[[#This Row],[category &amp; sub-category]],FIND("/",Table1[[#This Row],[category &amp; sub-category]])-1)</f>
        <v>technology</v>
      </c>
      <c r="V501" t="str">
        <f>+RIGHT(Table1[[#This Row],[category &amp; sub-category]],LEN(Table1[[#This Row],[category &amp; sub-category]])-SEARCH("/",Table1[[#This Row],[category &amp; sub-category]]))</f>
        <v>web</v>
      </c>
    </row>
    <row r="502" spans="2:22" ht="15.75" customHeight="1" x14ac:dyDescent="0.25">
      <c r="B502">
        <v>499</v>
      </c>
      <c r="C502" t="s">
        <v>1046</v>
      </c>
      <c r="D502" s="3" t="s">
        <v>1047</v>
      </c>
      <c r="E502" s="6">
        <v>163800</v>
      </c>
      <c r="F502" s="6">
        <v>78743</v>
      </c>
      <c r="G502" s="17">
        <f>ROUND(Table1[[#This Row],[pledged]]/Table1[[#This Row],[goal]]*100,2)</f>
        <v>48.07</v>
      </c>
      <c r="H502" s="5">
        <f>+Table1[[#This Row],[pledged]]/Table1[[#This Row],[goal]]</f>
        <v>0.48072649572649573</v>
      </c>
      <c r="I502" t="s">
        <v>14</v>
      </c>
      <c r="J502">
        <v>2072</v>
      </c>
      <c r="K502" s="8">
        <f>IFERROR(Table1[[#This Row],[pledged]]/Table1[[#This Row],[backers_count]],"NA")</f>
        <v>38.003378378378379</v>
      </c>
      <c r="L502" t="s">
        <v>21</v>
      </c>
      <c r="M502" t="s">
        <v>22</v>
      </c>
      <c r="N502">
        <v>1458018000</v>
      </c>
      <c r="O502">
        <v>1458450000</v>
      </c>
      <c r="P502" s="11">
        <f>+(((Table1[[#This Row],[launched_at]]/60)/60)/24)+DATE(1970,1,1)</f>
        <v>42444.208333333328</v>
      </c>
      <c r="Q502" s="11">
        <f>+(((Table1[[#This Row],[deadline]]/60)/60)/24)+DATE(1970,1,1)</f>
        <v>42449.208333333328</v>
      </c>
      <c r="R502" t="b">
        <v>0</v>
      </c>
      <c r="S502" t="b">
        <v>1</v>
      </c>
      <c r="T502" t="s">
        <v>42</v>
      </c>
      <c r="U502" t="str">
        <f>+LEFT(Table1[[#This Row],[category &amp; sub-category]],FIND("/",Table1[[#This Row],[category &amp; sub-category]])-1)</f>
        <v>film &amp; video</v>
      </c>
      <c r="V502" t="str">
        <f>+RIGHT(Table1[[#This Row],[category &amp; sub-category]],LEN(Table1[[#This Row],[category &amp; sub-category]])-SEARCH("/",Table1[[#This Row],[category &amp; sub-category]]))</f>
        <v>documentary</v>
      </c>
    </row>
    <row r="503" spans="2:22" ht="15.75" customHeight="1" x14ac:dyDescent="0.25">
      <c r="B503">
        <v>500</v>
      </c>
      <c r="C503" t="s">
        <v>1048</v>
      </c>
      <c r="D503" s="3" t="s">
        <v>1049</v>
      </c>
      <c r="E503" s="6">
        <v>100</v>
      </c>
      <c r="F503" s="6">
        <v>0</v>
      </c>
      <c r="G503" s="17">
        <f>ROUND(Table1[[#This Row],[pledged]]/Table1[[#This Row],[goal]]*100,2)</f>
        <v>0</v>
      </c>
      <c r="H503" s="5">
        <f>+Table1[[#This Row],[pledged]]/Table1[[#This Row],[goal]]</f>
        <v>0</v>
      </c>
      <c r="I503" t="s">
        <v>14</v>
      </c>
      <c r="J503">
        <v>0</v>
      </c>
      <c r="K503" s="8" t="str">
        <f>IFERROR(Table1[[#This Row],[pledged]]/Table1[[#This Row],[backers_count]],"NA")</f>
        <v>NA</v>
      </c>
      <c r="L503" t="s">
        <v>21</v>
      </c>
      <c r="M503" t="s">
        <v>22</v>
      </c>
      <c r="N503">
        <v>1367384400</v>
      </c>
      <c r="O503">
        <v>1369803600</v>
      </c>
      <c r="P503" s="11">
        <f>+(((Table1[[#This Row],[launched_at]]/60)/60)/24)+DATE(1970,1,1)</f>
        <v>41395.208333333336</v>
      </c>
      <c r="Q503" s="11">
        <f>+(((Table1[[#This Row],[deadline]]/60)/60)/24)+DATE(1970,1,1)</f>
        <v>41423.208333333336</v>
      </c>
      <c r="R503" t="b">
        <v>0</v>
      </c>
      <c r="S503" t="b">
        <v>1</v>
      </c>
      <c r="T503" t="s">
        <v>33</v>
      </c>
      <c r="U503" t="str">
        <f>+LEFT(Table1[[#This Row],[category &amp; sub-category]],FIND("/",Table1[[#This Row],[category &amp; sub-category]])-1)</f>
        <v>theater</v>
      </c>
      <c r="V503" t="str">
        <f>+RIGHT(Table1[[#This Row],[category &amp; sub-category]],LEN(Table1[[#This Row],[category &amp; sub-category]])-SEARCH("/",Table1[[#This Row],[category &amp; sub-category]]))</f>
        <v>plays</v>
      </c>
    </row>
    <row r="504" spans="2:22" ht="15.75" customHeight="1" x14ac:dyDescent="0.25">
      <c r="B504">
        <v>501</v>
      </c>
      <c r="C504" t="s">
        <v>1050</v>
      </c>
      <c r="D504" s="3" t="s">
        <v>1051</v>
      </c>
      <c r="E504" s="6">
        <v>153600</v>
      </c>
      <c r="F504" s="6">
        <v>107743</v>
      </c>
      <c r="G504" s="17">
        <f>ROUND(Table1[[#This Row],[pledged]]/Table1[[#This Row],[goal]]*100,2)</f>
        <v>70.150000000000006</v>
      </c>
      <c r="H504" s="5">
        <f>+Table1[[#This Row],[pledged]]/Table1[[#This Row],[goal]]</f>
        <v>0.70145182291666663</v>
      </c>
      <c r="I504" t="s">
        <v>14</v>
      </c>
      <c r="J504">
        <v>1796</v>
      </c>
      <c r="K504" s="8">
        <f>IFERROR(Table1[[#This Row],[pledged]]/Table1[[#This Row],[backers_count]],"NA")</f>
        <v>59.990534521158132</v>
      </c>
      <c r="L504" t="s">
        <v>21</v>
      </c>
      <c r="M504" t="s">
        <v>22</v>
      </c>
      <c r="N504">
        <v>1363064400</v>
      </c>
      <c r="O504">
        <v>1363237200</v>
      </c>
      <c r="P504" s="11">
        <f>+(((Table1[[#This Row],[launched_at]]/60)/60)/24)+DATE(1970,1,1)</f>
        <v>41345.208333333336</v>
      </c>
      <c r="Q504" s="11">
        <f>+(((Table1[[#This Row],[deadline]]/60)/60)/24)+DATE(1970,1,1)</f>
        <v>41347.208333333336</v>
      </c>
      <c r="R504" t="b">
        <v>0</v>
      </c>
      <c r="S504" t="b">
        <v>0</v>
      </c>
      <c r="T504" t="s">
        <v>42</v>
      </c>
      <c r="U504" t="str">
        <f>+LEFT(Table1[[#This Row],[category &amp; sub-category]],FIND("/",Table1[[#This Row],[category &amp; sub-category]])-1)</f>
        <v>film &amp; video</v>
      </c>
      <c r="V504" t="str">
        <f>+RIGHT(Table1[[#This Row],[category &amp; sub-category]],LEN(Table1[[#This Row],[category &amp; sub-category]])-SEARCH("/",Table1[[#This Row],[category &amp; sub-category]]))</f>
        <v>documentary</v>
      </c>
    </row>
    <row r="505" spans="2:22" ht="15.75" customHeight="1" x14ac:dyDescent="0.25">
      <c r="B505">
        <v>502</v>
      </c>
      <c r="C505" t="s">
        <v>477</v>
      </c>
      <c r="D505" s="3" t="s">
        <v>1052</v>
      </c>
      <c r="E505" s="6">
        <v>1300</v>
      </c>
      <c r="F505" s="6">
        <v>6889</v>
      </c>
      <c r="G505" s="17">
        <f>ROUND(Table1[[#This Row],[pledged]]/Table1[[#This Row],[goal]]*100,2)</f>
        <v>529.91999999999996</v>
      </c>
      <c r="H505" s="5">
        <f>+Table1[[#This Row],[pledged]]/Table1[[#This Row],[goal]]</f>
        <v>5.2992307692307694</v>
      </c>
      <c r="I505" t="s">
        <v>20</v>
      </c>
      <c r="J505">
        <v>186</v>
      </c>
      <c r="K505" s="8">
        <f>IFERROR(Table1[[#This Row],[pledged]]/Table1[[#This Row],[backers_count]],"NA")</f>
        <v>37.037634408602152</v>
      </c>
      <c r="L505" t="s">
        <v>26</v>
      </c>
      <c r="M505" t="s">
        <v>27</v>
      </c>
      <c r="N505">
        <v>1343365200</v>
      </c>
      <c r="O505">
        <v>1345870800</v>
      </c>
      <c r="P505" s="11">
        <f>+(((Table1[[#This Row],[launched_at]]/60)/60)/24)+DATE(1970,1,1)</f>
        <v>41117.208333333336</v>
      </c>
      <c r="Q505" s="11">
        <f>+(((Table1[[#This Row],[deadline]]/60)/60)/24)+DATE(1970,1,1)</f>
        <v>41146.208333333336</v>
      </c>
      <c r="R505" t="b">
        <v>0</v>
      </c>
      <c r="S505" t="b">
        <v>1</v>
      </c>
      <c r="T505" t="s">
        <v>89</v>
      </c>
      <c r="U505" t="str">
        <f>+LEFT(Table1[[#This Row],[category &amp; sub-category]],FIND("/",Table1[[#This Row],[category &amp; sub-category]])-1)</f>
        <v>games</v>
      </c>
      <c r="V505" t="str">
        <f>+RIGHT(Table1[[#This Row],[category &amp; sub-category]],LEN(Table1[[#This Row],[category &amp; sub-category]])-SEARCH("/",Table1[[#This Row],[category &amp; sub-category]]))</f>
        <v>video games</v>
      </c>
    </row>
    <row r="506" spans="2:22" ht="15.75" customHeight="1" x14ac:dyDescent="0.25">
      <c r="B506">
        <v>503</v>
      </c>
      <c r="C506" t="s">
        <v>1053</v>
      </c>
      <c r="D506" s="3" t="s">
        <v>1054</v>
      </c>
      <c r="E506" s="6">
        <v>25500</v>
      </c>
      <c r="F506" s="6">
        <v>45983</v>
      </c>
      <c r="G506" s="17">
        <f>ROUND(Table1[[#This Row],[pledged]]/Table1[[#This Row],[goal]]*100,2)</f>
        <v>180.33</v>
      </c>
      <c r="H506" s="5">
        <f>+Table1[[#This Row],[pledged]]/Table1[[#This Row],[goal]]</f>
        <v>1.8032549019607844</v>
      </c>
      <c r="I506" t="s">
        <v>20</v>
      </c>
      <c r="J506">
        <v>460</v>
      </c>
      <c r="K506" s="8">
        <f>IFERROR(Table1[[#This Row],[pledged]]/Table1[[#This Row],[backers_count]],"NA")</f>
        <v>99.963043478260872</v>
      </c>
      <c r="L506" t="s">
        <v>21</v>
      </c>
      <c r="M506" t="s">
        <v>22</v>
      </c>
      <c r="N506">
        <v>1435726800</v>
      </c>
      <c r="O506">
        <v>1437454800</v>
      </c>
      <c r="P506" s="11">
        <f>+(((Table1[[#This Row],[launched_at]]/60)/60)/24)+DATE(1970,1,1)</f>
        <v>42186.208333333328</v>
      </c>
      <c r="Q506" s="11">
        <f>+(((Table1[[#This Row],[deadline]]/60)/60)/24)+DATE(1970,1,1)</f>
        <v>42206.208333333328</v>
      </c>
      <c r="R506" t="b">
        <v>0</v>
      </c>
      <c r="S506" t="b">
        <v>0</v>
      </c>
      <c r="T506" t="s">
        <v>53</v>
      </c>
      <c r="U506" t="str">
        <f>+LEFT(Table1[[#This Row],[category &amp; sub-category]],FIND("/",Table1[[#This Row],[category &amp; sub-category]])-1)</f>
        <v>film &amp; video</v>
      </c>
      <c r="V506" t="str">
        <f>+RIGHT(Table1[[#This Row],[category &amp; sub-category]],LEN(Table1[[#This Row],[category &amp; sub-category]])-SEARCH("/",Table1[[#This Row],[category &amp; sub-category]]))</f>
        <v>drama</v>
      </c>
    </row>
    <row r="507" spans="2:22" ht="15.75" customHeight="1" x14ac:dyDescent="0.25">
      <c r="B507">
        <v>504</v>
      </c>
      <c r="C507" t="s">
        <v>1055</v>
      </c>
      <c r="D507" s="3" t="s">
        <v>1056</v>
      </c>
      <c r="E507" s="6">
        <v>7500</v>
      </c>
      <c r="F507" s="6">
        <v>6924</v>
      </c>
      <c r="G507" s="17">
        <f>ROUND(Table1[[#This Row],[pledged]]/Table1[[#This Row],[goal]]*100,2)</f>
        <v>92.32</v>
      </c>
      <c r="H507" s="5">
        <f>+Table1[[#This Row],[pledged]]/Table1[[#This Row],[goal]]</f>
        <v>0.92320000000000002</v>
      </c>
      <c r="I507" t="s">
        <v>14</v>
      </c>
      <c r="J507">
        <v>62</v>
      </c>
      <c r="K507" s="8">
        <f>IFERROR(Table1[[#This Row],[pledged]]/Table1[[#This Row],[backers_count]],"NA")</f>
        <v>111.6774193548387</v>
      </c>
      <c r="L507" t="s">
        <v>107</v>
      </c>
      <c r="M507" t="s">
        <v>108</v>
      </c>
      <c r="N507">
        <v>1431925200</v>
      </c>
      <c r="O507">
        <v>1432011600</v>
      </c>
      <c r="P507" s="11">
        <f>+(((Table1[[#This Row],[launched_at]]/60)/60)/24)+DATE(1970,1,1)</f>
        <v>42142.208333333328</v>
      </c>
      <c r="Q507" s="11">
        <f>+(((Table1[[#This Row],[deadline]]/60)/60)/24)+DATE(1970,1,1)</f>
        <v>42143.208333333328</v>
      </c>
      <c r="R507" t="b">
        <v>0</v>
      </c>
      <c r="S507" t="b">
        <v>0</v>
      </c>
      <c r="T507" t="s">
        <v>23</v>
      </c>
      <c r="U507" t="str">
        <f>+LEFT(Table1[[#This Row],[category &amp; sub-category]],FIND("/",Table1[[#This Row],[category &amp; sub-category]])-1)</f>
        <v>music</v>
      </c>
      <c r="V507" t="str">
        <f>+RIGHT(Table1[[#This Row],[category &amp; sub-category]],LEN(Table1[[#This Row],[category &amp; sub-category]])-SEARCH("/",Table1[[#This Row],[category &amp; sub-category]]))</f>
        <v>rock</v>
      </c>
    </row>
    <row r="508" spans="2:22" ht="15.75" customHeight="1" x14ac:dyDescent="0.25">
      <c r="B508">
        <v>505</v>
      </c>
      <c r="C508" t="s">
        <v>1057</v>
      </c>
      <c r="D508" s="3" t="s">
        <v>1058</v>
      </c>
      <c r="E508" s="6">
        <v>89900</v>
      </c>
      <c r="F508" s="6">
        <v>12497</v>
      </c>
      <c r="G508" s="17">
        <f>ROUND(Table1[[#This Row],[pledged]]/Table1[[#This Row],[goal]]*100,2)</f>
        <v>13.9</v>
      </c>
      <c r="H508" s="5">
        <f>+Table1[[#This Row],[pledged]]/Table1[[#This Row],[goal]]</f>
        <v>0.13901001112347053</v>
      </c>
      <c r="I508" t="s">
        <v>14</v>
      </c>
      <c r="J508">
        <v>347</v>
      </c>
      <c r="K508" s="8">
        <f>IFERROR(Table1[[#This Row],[pledged]]/Table1[[#This Row],[backers_count]],"NA")</f>
        <v>36.014409221902014</v>
      </c>
      <c r="L508" t="s">
        <v>21</v>
      </c>
      <c r="M508" t="s">
        <v>22</v>
      </c>
      <c r="N508">
        <v>1362722400</v>
      </c>
      <c r="O508">
        <v>1366347600</v>
      </c>
      <c r="P508" s="11">
        <f>+(((Table1[[#This Row],[launched_at]]/60)/60)/24)+DATE(1970,1,1)</f>
        <v>41341.25</v>
      </c>
      <c r="Q508" s="11">
        <f>+(((Table1[[#This Row],[deadline]]/60)/60)/24)+DATE(1970,1,1)</f>
        <v>41383.208333333336</v>
      </c>
      <c r="R508" t="b">
        <v>0</v>
      </c>
      <c r="S508" t="b">
        <v>1</v>
      </c>
      <c r="T508" t="s">
        <v>133</v>
      </c>
      <c r="U508" t="str">
        <f>+LEFT(Table1[[#This Row],[category &amp; sub-category]],FIND("/",Table1[[#This Row],[category &amp; sub-category]])-1)</f>
        <v>publishing</v>
      </c>
      <c r="V508" t="str">
        <f>+RIGHT(Table1[[#This Row],[category &amp; sub-category]],LEN(Table1[[#This Row],[category &amp; sub-category]])-SEARCH("/",Table1[[#This Row],[category &amp; sub-category]]))</f>
        <v>radio &amp; podcasts</v>
      </c>
    </row>
    <row r="509" spans="2:22" ht="15.75" customHeight="1" x14ac:dyDescent="0.25">
      <c r="B509">
        <v>506</v>
      </c>
      <c r="C509" t="s">
        <v>1059</v>
      </c>
      <c r="D509" s="3" t="s">
        <v>1060</v>
      </c>
      <c r="E509" s="6">
        <v>18000</v>
      </c>
      <c r="F509" s="6">
        <v>166874</v>
      </c>
      <c r="G509" s="17">
        <f>ROUND(Table1[[#This Row],[pledged]]/Table1[[#This Row],[goal]]*100,2)</f>
        <v>927.08</v>
      </c>
      <c r="H509" s="5">
        <f>+Table1[[#This Row],[pledged]]/Table1[[#This Row],[goal]]</f>
        <v>9.2707777777777771</v>
      </c>
      <c r="I509" t="s">
        <v>20</v>
      </c>
      <c r="J509">
        <v>2528</v>
      </c>
      <c r="K509" s="8">
        <f>IFERROR(Table1[[#This Row],[pledged]]/Table1[[#This Row],[backers_count]],"NA")</f>
        <v>66.010284810126578</v>
      </c>
      <c r="L509" t="s">
        <v>21</v>
      </c>
      <c r="M509" t="s">
        <v>22</v>
      </c>
      <c r="N509">
        <v>1511416800</v>
      </c>
      <c r="O509">
        <v>1512885600</v>
      </c>
      <c r="P509" s="11">
        <f>+(((Table1[[#This Row],[launched_at]]/60)/60)/24)+DATE(1970,1,1)</f>
        <v>43062.25</v>
      </c>
      <c r="Q509" s="11">
        <f>+(((Table1[[#This Row],[deadline]]/60)/60)/24)+DATE(1970,1,1)</f>
        <v>43079.25</v>
      </c>
      <c r="R509" t="b">
        <v>0</v>
      </c>
      <c r="S509" t="b">
        <v>1</v>
      </c>
      <c r="T509" t="s">
        <v>33</v>
      </c>
      <c r="U509" t="str">
        <f>+LEFT(Table1[[#This Row],[category &amp; sub-category]],FIND("/",Table1[[#This Row],[category &amp; sub-category]])-1)</f>
        <v>theater</v>
      </c>
      <c r="V509" t="str">
        <f>+RIGHT(Table1[[#This Row],[category &amp; sub-category]],LEN(Table1[[#This Row],[category &amp; sub-category]])-SEARCH("/",Table1[[#This Row],[category &amp; sub-category]]))</f>
        <v>plays</v>
      </c>
    </row>
    <row r="510" spans="2:22" ht="15.75" customHeight="1" x14ac:dyDescent="0.25">
      <c r="B510">
        <v>507</v>
      </c>
      <c r="C510" t="s">
        <v>1061</v>
      </c>
      <c r="D510" s="3" t="s">
        <v>1062</v>
      </c>
      <c r="E510" s="6">
        <v>2100</v>
      </c>
      <c r="F510" s="6">
        <v>837</v>
      </c>
      <c r="G510" s="17">
        <f>ROUND(Table1[[#This Row],[pledged]]/Table1[[#This Row],[goal]]*100,2)</f>
        <v>39.86</v>
      </c>
      <c r="H510" s="5">
        <f>+Table1[[#This Row],[pledged]]/Table1[[#This Row],[goal]]</f>
        <v>0.39857142857142858</v>
      </c>
      <c r="I510" t="s">
        <v>14</v>
      </c>
      <c r="J510">
        <v>19</v>
      </c>
      <c r="K510" s="8">
        <f>IFERROR(Table1[[#This Row],[pledged]]/Table1[[#This Row],[backers_count]],"NA")</f>
        <v>44.05263157894737</v>
      </c>
      <c r="L510" t="s">
        <v>21</v>
      </c>
      <c r="M510" t="s">
        <v>22</v>
      </c>
      <c r="N510">
        <v>1365483600</v>
      </c>
      <c r="O510">
        <v>1369717200</v>
      </c>
      <c r="P510" s="11">
        <f>+(((Table1[[#This Row],[launched_at]]/60)/60)/24)+DATE(1970,1,1)</f>
        <v>41373.208333333336</v>
      </c>
      <c r="Q510" s="11">
        <f>+(((Table1[[#This Row],[deadline]]/60)/60)/24)+DATE(1970,1,1)</f>
        <v>41422.208333333336</v>
      </c>
      <c r="R510" t="b">
        <v>0</v>
      </c>
      <c r="S510" t="b">
        <v>1</v>
      </c>
      <c r="T510" t="s">
        <v>28</v>
      </c>
      <c r="U510" t="str">
        <f>+LEFT(Table1[[#This Row],[category &amp; sub-category]],FIND("/",Table1[[#This Row],[category &amp; sub-category]])-1)</f>
        <v>technology</v>
      </c>
      <c r="V510" t="str">
        <f>+RIGHT(Table1[[#This Row],[category &amp; sub-category]],LEN(Table1[[#This Row],[category &amp; sub-category]])-SEARCH("/",Table1[[#This Row],[category &amp; sub-category]]))</f>
        <v>web</v>
      </c>
    </row>
    <row r="511" spans="2:22" ht="15.75" customHeight="1" x14ac:dyDescent="0.25">
      <c r="B511">
        <v>508</v>
      </c>
      <c r="C511" t="s">
        <v>1063</v>
      </c>
      <c r="D511" s="3" t="s">
        <v>1064</v>
      </c>
      <c r="E511" s="6">
        <v>172700</v>
      </c>
      <c r="F511" s="6">
        <v>193820</v>
      </c>
      <c r="G511" s="17">
        <f>ROUND(Table1[[#This Row],[pledged]]/Table1[[#This Row],[goal]]*100,2)</f>
        <v>112.23</v>
      </c>
      <c r="H511" s="5">
        <f>+Table1[[#This Row],[pledged]]/Table1[[#This Row],[goal]]</f>
        <v>1.1222929936305732</v>
      </c>
      <c r="I511" t="s">
        <v>20</v>
      </c>
      <c r="J511">
        <v>3657</v>
      </c>
      <c r="K511" s="8">
        <f>IFERROR(Table1[[#This Row],[pledged]]/Table1[[#This Row],[backers_count]],"NA")</f>
        <v>52.999726551818434</v>
      </c>
      <c r="L511" t="s">
        <v>21</v>
      </c>
      <c r="M511" t="s">
        <v>22</v>
      </c>
      <c r="N511">
        <v>1532840400</v>
      </c>
      <c r="O511">
        <v>1534654800</v>
      </c>
      <c r="P511" s="11">
        <f>+(((Table1[[#This Row],[launched_at]]/60)/60)/24)+DATE(1970,1,1)</f>
        <v>43310.208333333328</v>
      </c>
      <c r="Q511" s="11">
        <f>+(((Table1[[#This Row],[deadline]]/60)/60)/24)+DATE(1970,1,1)</f>
        <v>43331.208333333328</v>
      </c>
      <c r="R511" t="b">
        <v>0</v>
      </c>
      <c r="S511" t="b">
        <v>0</v>
      </c>
      <c r="T511" t="s">
        <v>33</v>
      </c>
      <c r="U511" t="str">
        <f>+LEFT(Table1[[#This Row],[category &amp; sub-category]],FIND("/",Table1[[#This Row],[category &amp; sub-category]])-1)</f>
        <v>theater</v>
      </c>
      <c r="V511" t="str">
        <f>+RIGHT(Table1[[#This Row],[category &amp; sub-category]],LEN(Table1[[#This Row],[category &amp; sub-category]])-SEARCH("/",Table1[[#This Row],[category &amp; sub-category]]))</f>
        <v>plays</v>
      </c>
    </row>
    <row r="512" spans="2:22" ht="15.75" customHeight="1" x14ac:dyDescent="0.25">
      <c r="B512">
        <v>509</v>
      </c>
      <c r="C512" t="s">
        <v>398</v>
      </c>
      <c r="D512" s="3" t="s">
        <v>1065</v>
      </c>
      <c r="E512" s="6">
        <v>168500</v>
      </c>
      <c r="F512" s="6">
        <v>119510</v>
      </c>
      <c r="G512" s="17">
        <f>ROUND(Table1[[#This Row],[pledged]]/Table1[[#This Row],[goal]]*100,2)</f>
        <v>70.930000000000007</v>
      </c>
      <c r="H512" s="5">
        <f>+Table1[[#This Row],[pledged]]/Table1[[#This Row],[goal]]</f>
        <v>0.70925816023738875</v>
      </c>
      <c r="I512" t="s">
        <v>14</v>
      </c>
      <c r="J512">
        <v>1258</v>
      </c>
      <c r="K512" s="8">
        <f>IFERROR(Table1[[#This Row],[pledged]]/Table1[[#This Row],[backers_count]],"NA")</f>
        <v>95</v>
      </c>
      <c r="L512" t="s">
        <v>21</v>
      </c>
      <c r="M512" t="s">
        <v>22</v>
      </c>
      <c r="N512">
        <v>1336194000</v>
      </c>
      <c r="O512">
        <v>1337058000</v>
      </c>
      <c r="P512" s="11">
        <f>+(((Table1[[#This Row],[launched_at]]/60)/60)/24)+DATE(1970,1,1)</f>
        <v>41034.208333333336</v>
      </c>
      <c r="Q512" s="11">
        <f>+(((Table1[[#This Row],[deadline]]/60)/60)/24)+DATE(1970,1,1)</f>
        <v>41044.208333333336</v>
      </c>
      <c r="R512" t="b">
        <v>0</v>
      </c>
      <c r="S512" t="b">
        <v>0</v>
      </c>
      <c r="T512" t="s">
        <v>33</v>
      </c>
      <c r="U512" t="str">
        <f>+LEFT(Table1[[#This Row],[category &amp; sub-category]],FIND("/",Table1[[#This Row],[category &amp; sub-category]])-1)</f>
        <v>theater</v>
      </c>
      <c r="V512" t="str">
        <f>+RIGHT(Table1[[#This Row],[category &amp; sub-category]],LEN(Table1[[#This Row],[category &amp; sub-category]])-SEARCH("/",Table1[[#This Row],[category &amp; sub-category]]))</f>
        <v>plays</v>
      </c>
    </row>
    <row r="513" spans="2:22" ht="15.75" customHeight="1" x14ac:dyDescent="0.25">
      <c r="B513">
        <v>510</v>
      </c>
      <c r="C513" t="s">
        <v>1066</v>
      </c>
      <c r="D513" s="3" t="s">
        <v>1067</v>
      </c>
      <c r="E513" s="6">
        <v>7800</v>
      </c>
      <c r="F513" s="6">
        <v>9289</v>
      </c>
      <c r="G513" s="17">
        <f>ROUND(Table1[[#This Row],[pledged]]/Table1[[#This Row],[goal]]*100,2)</f>
        <v>119.09</v>
      </c>
      <c r="H513" s="5">
        <f>+Table1[[#This Row],[pledged]]/Table1[[#This Row],[goal]]</f>
        <v>1.1908974358974358</v>
      </c>
      <c r="I513" t="s">
        <v>20</v>
      </c>
      <c r="J513">
        <v>131</v>
      </c>
      <c r="K513" s="8">
        <f>IFERROR(Table1[[#This Row],[pledged]]/Table1[[#This Row],[backers_count]],"NA")</f>
        <v>70.908396946564892</v>
      </c>
      <c r="L513" t="s">
        <v>26</v>
      </c>
      <c r="M513" t="s">
        <v>27</v>
      </c>
      <c r="N513">
        <v>1527742800</v>
      </c>
      <c r="O513">
        <v>1529816400</v>
      </c>
      <c r="P513" s="11">
        <f>+(((Table1[[#This Row],[launched_at]]/60)/60)/24)+DATE(1970,1,1)</f>
        <v>43251.208333333328</v>
      </c>
      <c r="Q513" s="11">
        <f>+(((Table1[[#This Row],[deadline]]/60)/60)/24)+DATE(1970,1,1)</f>
        <v>43275.208333333328</v>
      </c>
      <c r="R513" t="b">
        <v>0</v>
      </c>
      <c r="S513" t="b">
        <v>0</v>
      </c>
      <c r="T513" t="s">
        <v>53</v>
      </c>
      <c r="U513" t="str">
        <f>+LEFT(Table1[[#This Row],[category &amp; sub-category]],FIND("/",Table1[[#This Row],[category &amp; sub-category]])-1)</f>
        <v>film &amp; video</v>
      </c>
      <c r="V513" t="str">
        <f>+RIGHT(Table1[[#This Row],[category &amp; sub-category]],LEN(Table1[[#This Row],[category &amp; sub-category]])-SEARCH("/",Table1[[#This Row],[category &amp; sub-category]]))</f>
        <v>drama</v>
      </c>
    </row>
    <row r="514" spans="2:22" ht="15.75" customHeight="1" x14ac:dyDescent="0.25">
      <c r="B514">
        <v>511</v>
      </c>
      <c r="C514" t="s">
        <v>1068</v>
      </c>
      <c r="D514" s="3" t="s">
        <v>1069</v>
      </c>
      <c r="E514" s="6">
        <v>147800</v>
      </c>
      <c r="F514" s="6">
        <v>35498</v>
      </c>
      <c r="G514" s="17">
        <f>ROUND(Table1[[#This Row],[pledged]]/Table1[[#This Row],[goal]]*100,2)</f>
        <v>24.02</v>
      </c>
      <c r="H514" s="5">
        <f>+Table1[[#This Row],[pledged]]/Table1[[#This Row],[goal]]</f>
        <v>0.24017591339648173</v>
      </c>
      <c r="I514" t="s">
        <v>14</v>
      </c>
      <c r="J514">
        <v>362</v>
      </c>
      <c r="K514" s="8">
        <f>IFERROR(Table1[[#This Row],[pledged]]/Table1[[#This Row],[backers_count]],"NA")</f>
        <v>98.060773480662988</v>
      </c>
      <c r="L514" t="s">
        <v>21</v>
      </c>
      <c r="M514" t="s">
        <v>22</v>
      </c>
      <c r="N514">
        <v>1564030800</v>
      </c>
      <c r="O514">
        <v>1564894800</v>
      </c>
      <c r="P514" s="11">
        <f>+(((Table1[[#This Row],[launched_at]]/60)/60)/24)+DATE(1970,1,1)</f>
        <v>43671.208333333328</v>
      </c>
      <c r="Q514" s="11">
        <f>+(((Table1[[#This Row],[deadline]]/60)/60)/24)+DATE(1970,1,1)</f>
        <v>43681.208333333328</v>
      </c>
      <c r="R514" t="b">
        <v>0</v>
      </c>
      <c r="S514" t="b">
        <v>0</v>
      </c>
      <c r="T514" t="s">
        <v>33</v>
      </c>
      <c r="U514" t="str">
        <f>+LEFT(Table1[[#This Row],[category &amp; sub-category]],FIND("/",Table1[[#This Row],[category &amp; sub-category]])-1)</f>
        <v>theater</v>
      </c>
      <c r="V514" t="str">
        <f>+RIGHT(Table1[[#This Row],[category &amp; sub-category]],LEN(Table1[[#This Row],[category &amp; sub-category]])-SEARCH("/",Table1[[#This Row],[category &amp; sub-category]]))</f>
        <v>plays</v>
      </c>
    </row>
    <row r="515" spans="2:22" ht="15.75" customHeight="1" x14ac:dyDescent="0.25">
      <c r="B515">
        <v>512</v>
      </c>
      <c r="C515" t="s">
        <v>1070</v>
      </c>
      <c r="D515" s="3" t="s">
        <v>1071</v>
      </c>
      <c r="E515" s="6">
        <v>9100</v>
      </c>
      <c r="F515" s="6">
        <v>12678</v>
      </c>
      <c r="G515" s="17">
        <f>ROUND(Table1[[#This Row],[pledged]]/Table1[[#This Row],[goal]]*100,2)</f>
        <v>139.32</v>
      </c>
      <c r="H515" s="5">
        <f>+Table1[[#This Row],[pledged]]/Table1[[#This Row],[goal]]</f>
        <v>1.3931868131868133</v>
      </c>
      <c r="I515" t="s">
        <v>20</v>
      </c>
      <c r="J515">
        <v>239</v>
      </c>
      <c r="K515" s="8">
        <f>IFERROR(Table1[[#This Row],[pledged]]/Table1[[#This Row],[backers_count]],"NA")</f>
        <v>53.046025104602514</v>
      </c>
      <c r="L515" t="s">
        <v>21</v>
      </c>
      <c r="M515" t="s">
        <v>22</v>
      </c>
      <c r="N515">
        <v>1404536400</v>
      </c>
      <c r="O515">
        <v>1404622800</v>
      </c>
      <c r="P515" s="11">
        <f>+(((Table1[[#This Row],[launched_at]]/60)/60)/24)+DATE(1970,1,1)</f>
        <v>41825.208333333336</v>
      </c>
      <c r="Q515" s="11">
        <f>+(((Table1[[#This Row],[deadline]]/60)/60)/24)+DATE(1970,1,1)</f>
        <v>41826.208333333336</v>
      </c>
      <c r="R515" t="b">
        <v>0</v>
      </c>
      <c r="S515" t="b">
        <v>1</v>
      </c>
      <c r="T515" t="s">
        <v>89</v>
      </c>
      <c r="U515" t="str">
        <f>+LEFT(Table1[[#This Row],[category &amp; sub-category]],FIND("/",Table1[[#This Row],[category &amp; sub-category]])-1)</f>
        <v>games</v>
      </c>
      <c r="V515" t="str">
        <f>+RIGHT(Table1[[#This Row],[category &amp; sub-category]],LEN(Table1[[#This Row],[category &amp; sub-category]])-SEARCH("/",Table1[[#This Row],[category &amp; sub-category]]))</f>
        <v>video games</v>
      </c>
    </row>
    <row r="516" spans="2:22" ht="15.75" customHeight="1" x14ac:dyDescent="0.25">
      <c r="B516">
        <v>513</v>
      </c>
      <c r="C516" t="s">
        <v>1072</v>
      </c>
      <c r="D516" s="3" t="s">
        <v>1073</v>
      </c>
      <c r="E516" s="6">
        <v>8300</v>
      </c>
      <c r="F516" s="6">
        <v>3260</v>
      </c>
      <c r="G516" s="17">
        <f>ROUND(Table1[[#This Row],[pledged]]/Table1[[#This Row],[goal]]*100,2)</f>
        <v>39.28</v>
      </c>
      <c r="H516" s="5">
        <f>+Table1[[#This Row],[pledged]]/Table1[[#This Row],[goal]]</f>
        <v>0.39277108433734942</v>
      </c>
      <c r="I516" t="s">
        <v>74</v>
      </c>
      <c r="J516">
        <v>35</v>
      </c>
      <c r="K516" s="8">
        <f>IFERROR(Table1[[#This Row],[pledged]]/Table1[[#This Row],[backers_count]],"NA")</f>
        <v>93.142857142857139</v>
      </c>
      <c r="L516" t="s">
        <v>21</v>
      </c>
      <c r="M516" t="s">
        <v>22</v>
      </c>
      <c r="N516">
        <v>1284008400</v>
      </c>
      <c r="O516">
        <v>1284181200</v>
      </c>
      <c r="P516" s="11">
        <f>+(((Table1[[#This Row],[launched_at]]/60)/60)/24)+DATE(1970,1,1)</f>
        <v>40430.208333333336</v>
      </c>
      <c r="Q516" s="11">
        <f>+(((Table1[[#This Row],[deadline]]/60)/60)/24)+DATE(1970,1,1)</f>
        <v>40432.208333333336</v>
      </c>
      <c r="R516" t="b">
        <v>0</v>
      </c>
      <c r="S516" t="b">
        <v>0</v>
      </c>
      <c r="T516" t="s">
        <v>269</v>
      </c>
      <c r="U516" t="str">
        <f>+LEFT(Table1[[#This Row],[category &amp; sub-category]],FIND("/",Table1[[#This Row],[category &amp; sub-category]])-1)</f>
        <v>film &amp; video</v>
      </c>
      <c r="V516" t="str">
        <f>+RIGHT(Table1[[#This Row],[category &amp; sub-category]],LEN(Table1[[#This Row],[category &amp; sub-category]])-SEARCH("/",Table1[[#This Row],[category &amp; sub-category]]))</f>
        <v>television</v>
      </c>
    </row>
    <row r="517" spans="2:22" ht="15.75" customHeight="1" x14ac:dyDescent="0.25">
      <c r="B517">
        <v>514</v>
      </c>
      <c r="C517" t="s">
        <v>1074</v>
      </c>
      <c r="D517" s="3" t="s">
        <v>1075</v>
      </c>
      <c r="E517" s="6">
        <v>138700</v>
      </c>
      <c r="F517" s="6">
        <v>31123</v>
      </c>
      <c r="G517" s="17">
        <f>ROUND(Table1[[#This Row],[pledged]]/Table1[[#This Row],[goal]]*100,2)</f>
        <v>22.44</v>
      </c>
      <c r="H517" s="5">
        <f>+Table1[[#This Row],[pledged]]/Table1[[#This Row],[goal]]</f>
        <v>0.22439077144917088</v>
      </c>
      <c r="I517" t="s">
        <v>74</v>
      </c>
      <c r="J517">
        <v>528</v>
      </c>
      <c r="K517" s="8">
        <f>IFERROR(Table1[[#This Row],[pledged]]/Table1[[#This Row],[backers_count]],"NA")</f>
        <v>58.945075757575758</v>
      </c>
      <c r="L517" t="s">
        <v>98</v>
      </c>
      <c r="M517" t="s">
        <v>99</v>
      </c>
      <c r="N517">
        <v>1386309600</v>
      </c>
      <c r="O517">
        <v>1386741600</v>
      </c>
      <c r="P517" s="11">
        <f>+(((Table1[[#This Row],[launched_at]]/60)/60)/24)+DATE(1970,1,1)</f>
        <v>41614.25</v>
      </c>
      <c r="Q517" s="11">
        <f>+(((Table1[[#This Row],[deadline]]/60)/60)/24)+DATE(1970,1,1)</f>
        <v>41619.25</v>
      </c>
      <c r="R517" t="b">
        <v>0</v>
      </c>
      <c r="S517" t="b">
        <v>1</v>
      </c>
      <c r="T517" t="s">
        <v>23</v>
      </c>
      <c r="U517" t="str">
        <f>+LEFT(Table1[[#This Row],[category &amp; sub-category]],FIND("/",Table1[[#This Row],[category &amp; sub-category]])-1)</f>
        <v>music</v>
      </c>
      <c r="V517" t="str">
        <f>+RIGHT(Table1[[#This Row],[category &amp; sub-category]],LEN(Table1[[#This Row],[category &amp; sub-category]])-SEARCH("/",Table1[[#This Row],[category &amp; sub-category]]))</f>
        <v>rock</v>
      </c>
    </row>
    <row r="518" spans="2:22" ht="15.75" customHeight="1" x14ac:dyDescent="0.25">
      <c r="B518">
        <v>515</v>
      </c>
      <c r="C518" t="s">
        <v>1076</v>
      </c>
      <c r="D518" s="3" t="s">
        <v>1077</v>
      </c>
      <c r="E518" s="6">
        <v>8600</v>
      </c>
      <c r="F518" s="6">
        <v>4797</v>
      </c>
      <c r="G518" s="17">
        <f>ROUND(Table1[[#This Row],[pledged]]/Table1[[#This Row],[goal]]*100,2)</f>
        <v>55.78</v>
      </c>
      <c r="H518" s="5">
        <f>+Table1[[#This Row],[pledged]]/Table1[[#This Row],[goal]]</f>
        <v>0.55779069767441858</v>
      </c>
      <c r="I518" t="s">
        <v>14</v>
      </c>
      <c r="J518">
        <v>133</v>
      </c>
      <c r="K518" s="8">
        <f>IFERROR(Table1[[#This Row],[pledged]]/Table1[[#This Row],[backers_count]],"NA")</f>
        <v>36.067669172932334</v>
      </c>
      <c r="L518" t="s">
        <v>15</v>
      </c>
      <c r="M518" t="s">
        <v>16</v>
      </c>
      <c r="N518">
        <v>1324620000</v>
      </c>
      <c r="O518">
        <v>1324792800</v>
      </c>
      <c r="P518" s="11">
        <f>+(((Table1[[#This Row],[launched_at]]/60)/60)/24)+DATE(1970,1,1)</f>
        <v>40900.25</v>
      </c>
      <c r="Q518" s="11">
        <f>+(((Table1[[#This Row],[deadline]]/60)/60)/24)+DATE(1970,1,1)</f>
        <v>40902.25</v>
      </c>
      <c r="R518" t="b">
        <v>0</v>
      </c>
      <c r="S518" t="b">
        <v>1</v>
      </c>
      <c r="T518" t="s">
        <v>33</v>
      </c>
      <c r="U518" t="str">
        <f>+LEFT(Table1[[#This Row],[category &amp; sub-category]],FIND("/",Table1[[#This Row],[category &amp; sub-category]])-1)</f>
        <v>theater</v>
      </c>
      <c r="V518" t="str">
        <f>+RIGHT(Table1[[#This Row],[category &amp; sub-category]],LEN(Table1[[#This Row],[category &amp; sub-category]])-SEARCH("/",Table1[[#This Row],[category &amp; sub-category]]))</f>
        <v>plays</v>
      </c>
    </row>
    <row r="519" spans="2:22" ht="15.75" customHeight="1" x14ac:dyDescent="0.25">
      <c r="B519">
        <v>516</v>
      </c>
      <c r="C519" t="s">
        <v>1078</v>
      </c>
      <c r="D519" s="3" t="s">
        <v>1079</v>
      </c>
      <c r="E519" s="6">
        <v>125400</v>
      </c>
      <c r="F519" s="6">
        <v>53324</v>
      </c>
      <c r="G519" s="17">
        <f>ROUND(Table1[[#This Row],[pledged]]/Table1[[#This Row],[goal]]*100,2)</f>
        <v>42.52</v>
      </c>
      <c r="H519" s="5">
        <f>+Table1[[#This Row],[pledged]]/Table1[[#This Row],[goal]]</f>
        <v>0.42523125996810207</v>
      </c>
      <c r="I519" t="s">
        <v>14</v>
      </c>
      <c r="J519">
        <v>846</v>
      </c>
      <c r="K519" s="8">
        <f>IFERROR(Table1[[#This Row],[pledged]]/Table1[[#This Row],[backers_count]],"NA")</f>
        <v>63.030732860520096</v>
      </c>
      <c r="L519" t="s">
        <v>21</v>
      </c>
      <c r="M519" t="s">
        <v>22</v>
      </c>
      <c r="N519">
        <v>1281070800</v>
      </c>
      <c r="O519">
        <v>1284354000</v>
      </c>
      <c r="P519" s="11">
        <f>+(((Table1[[#This Row],[launched_at]]/60)/60)/24)+DATE(1970,1,1)</f>
        <v>40396.208333333336</v>
      </c>
      <c r="Q519" s="11">
        <f>+(((Table1[[#This Row],[deadline]]/60)/60)/24)+DATE(1970,1,1)</f>
        <v>40434.208333333336</v>
      </c>
      <c r="R519" t="b">
        <v>0</v>
      </c>
      <c r="S519" t="b">
        <v>0</v>
      </c>
      <c r="T519" t="s">
        <v>68</v>
      </c>
      <c r="U519" t="str">
        <f>+LEFT(Table1[[#This Row],[category &amp; sub-category]],FIND("/",Table1[[#This Row],[category &amp; sub-category]])-1)</f>
        <v>publishing</v>
      </c>
      <c r="V519" t="str">
        <f>+RIGHT(Table1[[#This Row],[category &amp; sub-category]],LEN(Table1[[#This Row],[category &amp; sub-category]])-SEARCH("/",Table1[[#This Row],[category &amp; sub-category]]))</f>
        <v>nonfiction</v>
      </c>
    </row>
    <row r="520" spans="2:22" ht="15.75" customHeight="1" x14ac:dyDescent="0.25">
      <c r="B520">
        <v>517</v>
      </c>
      <c r="C520" t="s">
        <v>1080</v>
      </c>
      <c r="D520" s="3" t="s">
        <v>1081</v>
      </c>
      <c r="E520" s="6">
        <v>5900</v>
      </c>
      <c r="F520" s="6">
        <v>6608</v>
      </c>
      <c r="G520" s="17">
        <f>ROUND(Table1[[#This Row],[pledged]]/Table1[[#This Row],[goal]]*100,2)</f>
        <v>112</v>
      </c>
      <c r="H520" s="5">
        <f>+Table1[[#This Row],[pledged]]/Table1[[#This Row],[goal]]</f>
        <v>1.1200000000000001</v>
      </c>
      <c r="I520" t="s">
        <v>20</v>
      </c>
      <c r="J520">
        <v>78</v>
      </c>
      <c r="K520" s="8">
        <f>IFERROR(Table1[[#This Row],[pledged]]/Table1[[#This Row],[backers_count]],"NA")</f>
        <v>84.717948717948715</v>
      </c>
      <c r="L520" t="s">
        <v>21</v>
      </c>
      <c r="M520" t="s">
        <v>22</v>
      </c>
      <c r="N520">
        <v>1493960400</v>
      </c>
      <c r="O520">
        <v>1494392400</v>
      </c>
      <c r="P520" s="11">
        <f>+(((Table1[[#This Row],[launched_at]]/60)/60)/24)+DATE(1970,1,1)</f>
        <v>42860.208333333328</v>
      </c>
      <c r="Q520" s="11">
        <f>+(((Table1[[#This Row],[deadline]]/60)/60)/24)+DATE(1970,1,1)</f>
        <v>42865.208333333328</v>
      </c>
      <c r="R520" t="b">
        <v>0</v>
      </c>
      <c r="S520" t="b">
        <v>0</v>
      </c>
      <c r="T520" t="s">
        <v>17</v>
      </c>
      <c r="U520" t="str">
        <f>+LEFT(Table1[[#This Row],[category &amp; sub-category]],FIND("/",Table1[[#This Row],[category &amp; sub-category]])-1)</f>
        <v>food</v>
      </c>
      <c r="V520" t="str">
        <f>+RIGHT(Table1[[#This Row],[category &amp; sub-category]],LEN(Table1[[#This Row],[category &amp; sub-category]])-SEARCH("/",Table1[[#This Row],[category &amp; sub-category]]))</f>
        <v>food trucks</v>
      </c>
    </row>
    <row r="521" spans="2:22" ht="15.75" customHeight="1" x14ac:dyDescent="0.25">
      <c r="B521">
        <v>518</v>
      </c>
      <c r="C521" t="s">
        <v>1082</v>
      </c>
      <c r="D521" s="3" t="s">
        <v>1083</v>
      </c>
      <c r="E521" s="6">
        <v>8800</v>
      </c>
      <c r="F521" s="6">
        <v>622</v>
      </c>
      <c r="G521" s="17">
        <f>ROUND(Table1[[#This Row],[pledged]]/Table1[[#This Row],[goal]]*100,2)</f>
        <v>7.07</v>
      </c>
      <c r="H521" s="5">
        <f>+Table1[[#This Row],[pledged]]/Table1[[#This Row],[goal]]</f>
        <v>7.0681818181818179E-2</v>
      </c>
      <c r="I521" t="s">
        <v>14</v>
      </c>
      <c r="J521">
        <v>10</v>
      </c>
      <c r="K521" s="8">
        <f>IFERROR(Table1[[#This Row],[pledged]]/Table1[[#This Row],[backers_count]],"NA")</f>
        <v>62.2</v>
      </c>
      <c r="L521" t="s">
        <v>21</v>
      </c>
      <c r="M521" t="s">
        <v>22</v>
      </c>
      <c r="N521">
        <v>1519365600</v>
      </c>
      <c r="O521">
        <v>1519538400</v>
      </c>
      <c r="P521" s="11">
        <f>+(((Table1[[#This Row],[launched_at]]/60)/60)/24)+DATE(1970,1,1)</f>
        <v>43154.25</v>
      </c>
      <c r="Q521" s="11">
        <f>+(((Table1[[#This Row],[deadline]]/60)/60)/24)+DATE(1970,1,1)</f>
        <v>43156.25</v>
      </c>
      <c r="R521" t="b">
        <v>0</v>
      </c>
      <c r="S521" t="b">
        <v>1</v>
      </c>
      <c r="T521" t="s">
        <v>71</v>
      </c>
      <c r="U521" t="str">
        <f>+LEFT(Table1[[#This Row],[category &amp; sub-category]],FIND("/",Table1[[#This Row],[category &amp; sub-category]])-1)</f>
        <v>film &amp; video</v>
      </c>
      <c r="V521" t="str">
        <f>+RIGHT(Table1[[#This Row],[category &amp; sub-category]],LEN(Table1[[#This Row],[category &amp; sub-category]])-SEARCH("/",Table1[[#This Row],[category &amp; sub-category]]))</f>
        <v>animation</v>
      </c>
    </row>
    <row r="522" spans="2:22" ht="15.75" customHeight="1" x14ac:dyDescent="0.25">
      <c r="B522">
        <v>519</v>
      </c>
      <c r="C522" t="s">
        <v>1084</v>
      </c>
      <c r="D522" s="3" t="s">
        <v>1085</v>
      </c>
      <c r="E522" s="6">
        <v>177700</v>
      </c>
      <c r="F522" s="6">
        <v>180802</v>
      </c>
      <c r="G522" s="17">
        <f>ROUND(Table1[[#This Row],[pledged]]/Table1[[#This Row],[goal]]*100,2)</f>
        <v>101.75</v>
      </c>
      <c r="H522" s="5">
        <f>+Table1[[#This Row],[pledged]]/Table1[[#This Row],[goal]]</f>
        <v>1.0174563871693867</v>
      </c>
      <c r="I522" t="s">
        <v>20</v>
      </c>
      <c r="J522">
        <v>1773</v>
      </c>
      <c r="K522" s="8">
        <f>IFERROR(Table1[[#This Row],[pledged]]/Table1[[#This Row],[backers_count]],"NA")</f>
        <v>101.97518330513255</v>
      </c>
      <c r="L522" t="s">
        <v>21</v>
      </c>
      <c r="M522" t="s">
        <v>22</v>
      </c>
      <c r="N522">
        <v>1420696800</v>
      </c>
      <c r="O522">
        <v>1421906400</v>
      </c>
      <c r="P522" s="11">
        <f>+(((Table1[[#This Row],[launched_at]]/60)/60)/24)+DATE(1970,1,1)</f>
        <v>42012.25</v>
      </c>
      <c r="Q522" s="11">
        <f>+(((Table1[[#This Row],[deadline]]/60)/60)/24)+DATE(1970,1,1)</f>
        <v>42026.25</v>
      </c>
      <c r="R522" t="b">
        <v>0</v>
      </c>
      <c r="S522" t="b">
        <v>1</v>
      </c>
      <c r="T522" t="s">
        <v>23</v>
      </c>
      <c r="U522" t="str">
        <f>+LEFT(Table1[[#This Row],[category &amp; sub-category]],FIND("/",Table1[[#This Row],[category &amp; sub-category]])-1)</f>
        <v>music</v>
      </c>
      <c r="V522" t="str">
        <f>+RIGHT(Table1[[#This Row],[category &amp; sub-category]],LEN(Table1[[#This Row],[category &amp; sub-category]])-SEARCH("/",Table1[[#This Row],[category &amp; sub-category]]))</f>
        <v>rock</v>
      </c>
    </row>
    <row r="523" spans="2:22" ht="15.75" customHeight="1" x14ac:dyDescent="0.25">
      <c r="B523">
        <v>520</v>
      </c>
      <c r="C523" t="s">
        <v>1086</v>
      </c>
      <c r="D523" s="3" t="s">
        <v>1087</v>
      </c>
      <c r="E523" s="6">
        <v>800</v>
      </c>
      <c r="F523" s="6">
        <v>3406</v>
      </c>
      <c r="G523" s="17">
        <f>ROUND(Table1[[#This Row],[pledged]]/Table1[[#This Row],[goal]]*100,2)</f>
        <v>425.75</v>
      </c>
      <c r="H523" s="5">
        <f>+Table1[[#This Row],[pledged]]/Table1[[#This Row],[goal]]</f>
        <v>4.2575000000000003</v>
      </c>
      <c r="I523" t="s">
        <v>20</v>
      </c>
      <c r="J523">
        <v>32</v>
      </c>
      <c r="K523" s="8">
        <f>IFERROR(Table1[[#This Row],[pledged]]/Table1[[#This Row],[backers_count]],"NA")</f>
        <v>106.4375</v>
      </c>
      <c r="L523" t="s">
        <v>21</v>
      </c>
      <c r="M523" t="s">
        <v>22</v>
      </c>
      <c r="N523">
        <v>1555650000</v>
      </c>
      <c r="O523">
        <v>1555909200</v>
      </c>
      <c r="P523" s="11">
        <f>+(((Table1[[#This Row],[launched_at]]/60)/60)/24)+DATE(1970,1,1)</f>
        <v>43574.208333333328</v>
      </c>
      <c r="Q523" s="11">
        <f>+(((Table1[[#This Row],[deadline]]/60)/60)/24)+DATE(1970,1,1)</f>
        <v>43577.208333333328</v>
      </c>
      <c r="R523" t="b">
        <v>0</v>
      </c>
      <c r="S523" t="b">
        <v>0</v>
      </c>
      <c r="T523" t="s">
        <v>33</v>
      </c>
      <c r="U523" t="str">
        <f>+LEFT(Table1[[#This Row],[category &amp; sub-category]],FIND("/",Table1[[#This Row],[category &amp; sub-category]])-1)</f>
        <v>theater</v>
      </c>
      <c r="V523" t="str">
        <f>+RIGHT(Table1[[#This Row],[category &amp; sub-category]],LEN(Table1[[#This Row],[category &amp; sub-category]])-SEARCH("/",Table1[[#This Row],[category &amp; sub-category]]))</f>
        <v>plays</v>
      </c>
    </row>
    <row r="524" spans="2:22" ht="15.75" customHeight="1" x14ac:dyDescent="0.25">
      <c r="B524">
        <v>521</v>
      </c>
      <c r="C524" t="s">
        <v>1088</v>
      </c>
      <c r="D524" s="3" t="s">
        <v>141</v>
      </c>
      <c r="E524" s="6">
        <v>7600</v>
      </c>
      <c r="F524" s="6">
        <v>11061</v>
      </c>
      <c r="G524" s="17">
        <f>ROUND(Table1[[#This Row],[pledged]]/Table1[[#This Row],[goal]]*100,2)</f>
        <v>145.54</v>
      </c>
      <c r="H524" s="5">
        <f>+Table1[[#This Row],[pledged]]/Table1[[#This Row],[goal]]</f>
        <v>1.4553947368421052</v>
      </c>
      <c r="I524" t="s">
        <v>20</v>
      </c>
      <c r="J524">
        <v>369</v>
      </c>
      <c r="K524" s="8">
        <f>IFERROR(Table1[[#This Row],[pledged]]/Table1[[#This Row],[backers_count]],"NA")</f>
        <v>29.975609756097562</v>
      </c>
      <c r="L524" t="s">
        <v>21</v>
      </c>
      <c r="M524" t="s">
        <v>22</v>
      </c>
      <c r="N524">
        <v>1471928400</v>
      </c>
      <c r="O524">
        <v>1472446800</v>
      </c>
      <c r="P524" s="11">
        <f>+(((Table1[[#This Row],[launched_at]]/60)/60)/24)+DATE(1970,1,1)</f>
        <v>42605.208333333328</v>
      </c>
      <c r="Q524" s="11">
        <f>+(((Table1[[#This Row],[deadline]]/60)/60)/24)+DATE(1970,1,1)</f>
        <v>42611.208333333328</v>
      </c>
      <c r="R524" t="b">
        <v>0</v>
      </c>
      <c r="S524" t="b">
        <v>1</v>
      </c>
      <c r="T524" t="s">
        <v>53</v>
      </c>
      <c r="U524" t="str">
        <f>+LEFT(Table1[[#This Row],[category &amp; sub-category]],FIND("/",Table1[[#This Row],[category &amp; sub-category]])-1)</f>
        <v>film &amp; video</v>
      </c>
      <c r="V524" t="str">
        <f>+RIGHT(Table1[[#This Row],[category &amp; sub-category]],LEN(Table1[[#This Row],[category &amp; sub-category]])-SEARCH("/",Table1[[#This Row],[category &amp; sub-category]]))</f>
        <v>drama</v>
      </c>
    </row>
    <row r="525" spans="2:22" ht="15.75" customHeight="1" x14ac:dyDescent="0.25">
      <c r="B525">
        <v>522</v>
      </c>
      <c r="C525" t="s">
        <v>1089</v>
      </c>
      <c r="D525" s="3" t="s">
        <v>1090</v>
      </c>
      <c r="E525" s="6">
        <v>50500</v>
      </c>
      <c r="F525" s="6">
        <v>16389</v>
      </c>
      <c r="G525" s="17">
        <f>ROUND(Table1[[#This Row],[pledged]]/Table1[[#This Row],[goal]]*100,2)</f>
        <v>32.450000000000003</v>
      </c>
      <c r="H525" s="5">
        <f>+Table1[[#This Row],[pledged]]/Table1[[#This Row],[goal]]</f>
        <v>0.32453465346534655</v>
      </c>
      <c r="I525" t="s">
        <v>14</v>
      </c>
      <c r="J525">
        <v>191</v>
      </c>
      <c r="K525" s="8">
        <f>IFERROR(Table1[[#This Row],[pledged]]/Table1[[#This Row],[backers_count]],"NA")</f>
        <v>85.806282722513089</v>
      </c>
      <c r="L525" t="s">
        <v>21</v>
      </c>
      <c r="M525" t="s">
        <v>22</v>
      </c>
      <c r="N525">
        <v>1341291600</v>
      </c>
      <c r="O525">
        <v>1342328400</v>
      </c>
      <c r="P525" s="11">
        <f>+(((Table1[[#This Row],[launched_at]]/60)/60)/24)+DATE(1970,1,1)</f>
        <v>41093.208333333336</v>
      </c>
      <c r="Q525" s="11">
        <f>+(((Table1[[#This Row],[deadline]]/60)/60)/24)+DATE(1970,1,1)</f>
        <v>41105.208333333336</v>
      </c>
      <c r="R525" t="b">
        <v>0</v>
      </c>
      <c r="S525" t="b">
        <v>0</v>
      </c>
      <c r="T525" t="s">
        <v>100</v>
      </c>
      <c r="U525" t="str">
        <f>+LEFT(Table1[[#This Row],[category &amp; sub-category]],FIND("/",Table1[[#This Row],[category &amp; sub-category]])-1)</f>
        <v>film &amp; video</v>
      </c>
      <c r="V525" t="str">
        <f>+RIGHT(Table1[[#This Row],[category &amp; sub-category]],LEN(Table1[[#This Row],[category &amp; sub-category]])-SEARCH("/",Table1[[#This Row],[category &amp; sub-category]]))</f>
        <v>shorts</v>
      </c>
    </row>
    <row r="526" spans="2:22" ht="15.75" customHeight="1" x14ac:dyDescent="0.25">
      <c r="B526">
        <v>523</v>
      </c>
      <c r="C526" t="s">
        <v>1091</v>
      </c>
      <c r="D526" s="3" t="s">
        <v>1092</v>
      </c>
      <c r="E526" s="6">
        <v>900</v>
      </c>
      <c r="F526" s="6">
        <v>6303</v>
      </c>
      <c r="G526" s="17">
        <f>ROUND(Table1[[#This Row],[pledged]]/Table1[[#This Row],[goal]]*100,2)</f>
        <v>700.33</v>
      </c>
      <c r="H526" s="5">
        <f>+Table1[[#This Row],[pledged]]/Table1[[#This Row],[goal]]</f>
        <v>7.003333333333333</v>
      </c>
      <c r="I526" t="s">
        <v>20</v>
      </c>
      <c r="J526">
        <v>89</v>
      </c>
      <c r="K526" s="8">
        <f>IFERROR(Table1[[#This Row],[pledged]]/Table1[[#This Row],[backers_count]],"NA")</f>
        <v>70.82022471910112</v>
      </c>
      <c r="L526" t="s">
        <v>21</v>
      </c>
      <c r="M526" t="s">
        <v>22</v>
      </c>
      <c r="N526">
        <v>1267682400</v>
      </c>
      <c r="O526">
        <v>1268114400</v>
      </c>
      <c r="P526" s="11">
        <f>+(((Table1[[#This Row],[launched_at]]/60)/60)/24)+DATE(1970,1,1)</f>
        <v>40241.25</v>
      </c>
      <c r="Q526" s="11">
        <f>+(((Table1[[#This Row],[deadline]]/60)/60)/24)+DATE(1970,1,1)</f>
        <v>40246.25</v>
      </c>
      <c r="R526" t="b">
        <v>0</v>
      </c>
      <c r="S526" t="b">
        <v>0</v>
      </c>
      <c r="T526" t="s">
        <v>100</v>
      </c>
      <c r="U526" t="str">
        <f>+LEFT(Table1[[#This Row],[category &amp; sub-category]],FIND("/",Table1[[#This Row],[category &amp; sub-category]])-1)</f>
        <v>film &amp; video</v>
      </c>
      <c r="V526" t="str">
        <f>+RIGHT(Table1[[#This Row],[category &amp; sub-category]],LEN(Table1[[#This Row],[category &amp; sub-category]])-SEARCH("/",Table1[[#This Row],[category &amp; sub-category]]))</f>
        <v>shorts</v>
      </c>
    </row>
    <row r="527" spans="2:22" ht="15.75" customHeight="1" x14ac:dyDescent="0.25">
      <c r="B527">
        <v>524</v>
      </c>
      <c r="C527" t="s">
        <v>1093</v>
      </c>
      <c r="D527" s="3" t="s">
        <v>1094</v>
      </c>
      <c r="E527" s="6">
        <v>96700</v>
      </c>
      <c r="F527" s="6">
        <v>81136</v>
      </c>
      <c r="G527" s="17">
        <f>ROUND(Table1[[#This Row],[pledged]]/Table1[[#This Row],[goal]]*100,2)</f>
        <v>83.9</v>
      </c>
      <c r="H527" s="5">
        <f>+Table1[[#This Row],[pledged]]/Table1[[#This Row],[goal]]</f>
        <v>0.83904860392967939</v>
      </c>
      <c r="I527" t="s">
        <v>14</v>
      </c>
      <c r="J527">
        <v>1979</v>
      </c>
      <c r="K527" s="8">
        <f>IFERROR(Table1[[#This Row],[pledged]]/Table1[[#This Row],[backers_count]],"NA")</f>
        <v>40.998484082870135</v>
      </c>
      <c r="L527" t="s">
        <v>21</v>
      </c>
      <c r="M527" t="s">
        <v>22</v>
      </c>
      <c r="N527">
        <v>1272258000</v>
      </c>
      <c r="O527">
        <v>1273381200</v>
      </c>
      <c r="P527" s="11">
        <f>+(((Table1[[#This Row],[launched_at]]/60)/60)/24)+DATE(1970,1,1)</f>
        <v>40294.208333333336</v>
      </c>
      <c r="Q527" s="11">
        <f>+(((Table1[[#This Row],[deadline]]/60)/60)/24)+DATE(1970,1,1)</f>
        <v>40307.208333333336</v>
      </c>
      <c r="R527" t="b">
        <v>0</v>
      </c>
      <c r="S527" t="b">
        <v>0</v>
      </c>
      <c r="T527" t="s">
        <v>33</v>
      </c>
      <c r="U527" t="str">
        <f>+LEFT(Table1[[#This Row],[category &amp; sub-category]],FIND("/",Table1[[#This Row],[category &amp; sub-category]])-1)</f>
        <v>theater</v>
      </c>
      <c r="V527" t="str">
        <f>+RIGHT(Table1[[#This Row],[category &amp; sub-category]],LEN(Table1[[#This Row],[category &amp; sub-category]])-SEARCH("/",Table1[[#This Row],[category &amp; sub-category]]))</f>
        <v>plays</v>
      </c>
    </row>
    <row r="528" spans="2:22" ht="15.75" customHeight="1" x14ac:dyDescent="0.25">
      <c r="B528">
        <v>525</v>
      </c>
      <c r="C528" t="s">
        <v>1095</v>
      </c>
      <c r="D528" s="3" t="s">
        <v>1096</v>
      </c>
      <c r="E528" s="6">
        <v>2100</v>
      </c>
      <c r="F528" s="6">
        <v>1768</v>
      </c>
      <c r="G528" s="17">
        <f>ROUND(Table1[[#This Row],[pledged]]/Table1[[#This Row],[goal]]*100,2)</f>
        <v>84.19</v>
      </c>
      <c r="H528" s="5">
        <f>+Table1[[#This Row],[pledged]]/Table1[[#This Row],[goal]]</f>
        <v>0.84190476190476193</v>
      </c>
      <c r="I528" t="s">
        <v>14</v>
      </c>
      <c r="J528">
        <v>63</v>
      </c>
      <c r="K528" s="8">
        <f>IFERROR(Table1[[#This Row],[pledged]]/Table1[[#This Row],[backers_count]],"NA")</f>
        <v>28.063492063492063</v>
      </c>
      <c r="L528" t="s">
        <v>21</v>
      </c>
      <c r="M528" t="s">
        <v>22</v>
      </c>
      <c r="N528">
        <v>1290492000</v>
      </c>
      <c r="O528">
        <v>1290837600</v>
      </c>
      <c r="P528" s="11">
        <f>+(((Table1[[#This Row],[launched_at]]/60)/60)/24)+DATE(1970,1,1)</f>
        <v>40505.25</v>
      </c>
      <c r="Q528" s="11">
        <f>+(((Table1[[#This Row],[deadline]]/60)/60)/24)+DATE(1970,1,1)</f>
        <v>40509.25</v>
      </c>
      <c r="R528" t="b">
        <v>0</v>
      </c>
      <c r="S528" t="b">
        <v>0</v>
      </c>
      <c r="T528" t="s">
        <v>65</v>
      </c>
      <c r="U528" t="str">
        <f>+LEFT(Table1[[#This Row],[category &amp; sub-category]],FIND("/",Table1[[#This Row],[category &amp; sub-category]])-1)</f>
        <v>technology</v>
      </c>
      <c r="V528" t="str">
        <f>+RIGHT(Table1[[#This Row],[category &amp; sub-category]],LEN(Table1[[#This Row],[category &amp; sub-category]])-SEARCH("/",Table1[[#This Row],[category &amp; sub-category]]))</f>
        <v>wearables</v>
      </c>
    </row>
    <row r="529" spans="2:22" ht="15.75" customHeight="1" x14ac:dyDescent="0.25">
      <c r="B529">
        <v>526</v>
      </c>
      <c r="C529" t="s">
        <v>1097</v>
      </c>
      <c r="D529" s="3" t="s">
        <v>1098</v>
      </c>
      <c r="E529" s="6">
        <v>8300</v>
      </c>
      <c r="F529" s="6">
        <v>12944</v>
      </c>
      <c r="G529" s="17">
        <f>ROUND(Table1[[#This Row],[pledged]]/Table1[[#This Row],[goal]]*100,2)</f>
        <v>155.94999999999999</v>
      </c>
      <c r="H529" s="5">
        <f>+Table1[[#This Row],[pledged]]/Table1[[#This Row],[goal]]</f>
        <v>1.5595180722891566</v>
      </c>
      <c r="I529" t="s">
        <v>20</v>
      </c>
      <c r="J529">
        <v>147</v>
      </c>
      <c r="K529" s="8">
        <f>IFERROR(Table1[[#This Row],[pledged]]/Table1[[#This Row],[backers_count]],"NA")</f>
        <v>88.054421768707485</v>
      </c>
      <c r="L529" t="s">
        <v>21</v>
      </c>
      <c r="M529" t="s">
        <v>22</v>
      </c>
      <c r="N529">
        <v>1451109600</v>
      </c>
      <c r="O529">
        <v>1454306400</v>
      </c>
      <c r="P529" s="11">
        <f>+(((Table1[[#This Row],[launched_at]]/60)/60)/24)+DATE(1970,1,1)</f>
        <v>42364.25</v>
      </c>
      <c r="Q529" s="11">
        <f>+(((Table1[[#This Row],[deadline]]/60)/60)/24)+DATE(1970,1,1)</f>
        <v>42401.25</v>
      </c>
      <c r="R529" t="b">
        <v>0</v>
      </c>
      <c r="S529" t="b">
        <v>1</v>
      </c>
      <c r="T529" t="s">
        <v>33</v>
      </c>
      <c r="U529" t="str">
        <f>+LEFT(Table1[[#This Row],[category &amp; sub-category]],FIND("/",Table1[[#This Row],[category &amp; sub-category]])-1)</f>
        <v>theater</v>
      </c>
      <c r="V529" t="str">
        <f>+RIGHT(Table1[[#This Row],[category &amp; sub-category]],LEN(Table1[[#This Row],[category &amp; sub-category]])-SEARCH("/",Table1[[#This Row],[category &amp; sub-category]]))</f>
        <v>plays</v>
      </c>
    </row>
    <row r="530" spans="2:22" ht="15.75" customHeight="1" x14ac:dyDescent="0.25">
      <c r="B530">
        <v>527</v>
      </c>
      <c r="C530" t="s">
        <v>1099</v>
      </c>
      <c r="D530" s="3" t="s">
        <v>1100</v>
      </c>
      <c r="E530" s="6">
        <v>189200</v>
      </c>
      <c r="F530" s="6">
        <v>188480</v>
      </c>
      <c r="G530" s="17">
        <f>ROUND(Table1[[#This Row],[pledged]]/Table1[[#This Row],[goal]]*100,2)</f>
        <v>99.62</v>
      </c>
      <c r="H530" s="5">
        <f>+Table1[[#This Row],[pledged]]/Table1[[#This Row],[goal]]</f>
        <v>0.99619450317124736</v>
      </c>
      <c r="I530" t="s">
        <v>14</v>
      </c>
      <c r="J530">
        <v>6080</v>
      </c>
      <c r="K530" s="8">
        <f>IFERROR(Table1[[#This Row],[pledged]]/Table1[[#This Row],[backers_count]],"NA")</f>
        <v>31</v>
      </c>
      <c r="L530" t="s">
        <v>15</v>
      </c>
      <c r="M530" t="s">
        <v>16</v>
      </c>
      <c r="N530">
        <v>1454652000</v>
      </c>
      <c r="O530">
        <v>1457762400</v>
      </c>
      <c r="P530" s="11">
        <f>+(((Table1[[#This Row],[launched_at]]/60)/60)/24)+DATE(1970,1,1)</f>
        <v>42405.25</v>
      </c>
      <c r="Q530" s="11">
        <f>+(((Table1[[#This Row],[deadline]]/60)/60)/24)+DATE(1970,1,1)</f>
        <v>42441.25</v>
      </c>
      <c r="R530" t="b">
        <v>0</v>
      </c>
      <c r="S530" t="b">
        <v>0</v>
      </c>
      <c r="T530" t="s">
        <v>71</v>
      </c>
      <c r="U530" t="str">
        <f>+LEFT(Table1[[#This Row],[category &amp; sub-category]],FIND("/",Table1[[#This Row],[category &amp; sub-category]])-1)</f>
        <v>film &amp; video</v>
      </c>
      <c r="V530" t="str">
        <f>+RIGHT(Table1[[#This Row],[category &amp; sub-category]],LEN(Table1[[#This Row],[category &amp; sub-category]])-SEARCH("/",Table1[[#This Row],[category &amp; sub-category]]))</f>
        <v>animation</v>
      </c>
    </row>
    <row r="531" spans="2:22" ht="15.75" customHeight="1" x14ac:dyDescent="0.25">
      <c r="B531">
        <v>528</v>
      </c>
      <c r="C531" t="s">
        <v>1101</v>
      </c>
      <c r="D531" s="3" t="s">
        <v>1102</v>
      </c>
      <c r="E531" s="6">
        <v>9000</v>
      </c>
      <c r="F531" s="6">
        <v>7227</v>
      </c>
      <c r="G531" s="17">
        <f>ROUND(Table1[[#This Row],[pledged]]/Table1[[#This Row],[goal]]*100,2)</f>
        <v>80.3</v>
      </c>
      <c r="H531" s="5">
        <f>+Table1[[#This Row],[pledged]]/Table1[[#This Row],[goal]]</f>
        <v>0.80300000000000005</v>
      </c>
      <c r="I531" t="s">
        <v>14</v>
      </c>
      <c r="J531">
        <v>80</v>
      </c>
      <c r="K531" s="8">
        <f>IFERROR(Table1[[#This Row],[pledged]]/Table1[[#This Row],[backers_count]],"NA")</f>
        <v>90.337500000000006</v>
      </c>
      <c r="L531" t="s">
        <v>40</v>
      </c>
      <c r="M531" t="s">
        <v>41</v>
      </c>
      <c r="N531">
        <v>1385186400</v>
      </c>
      <c r="O531">
        <v>1389074400</v>
      </c>
      <c r="P531" s="11">
        <f>+(((Table1[[#This Row],[launched_at]]/60)/60)/24)+DATE(1970,1,1)</f>
        <v>41601.25</v>
      </c>
      <c r="Q531" s="11">
        <f>+(((Table1[[#This Row],[deadline]]/60)/60)/24)+DATE(1970,1,1)</f>
        <v>41646.25</v>
      </c>
      <c r="R531" t="b">
        <v>0</v>
      </c>
      <c r="S531" t="b">
        <v>0</v>
      </c>
      <c r="T531" t="s">
        <v>60</v>
      </c>
      <c r="U531" t="str">
        <f>+LEFT(Table1[[#This Row],[category &amp; sub-category]],FIND("/",Table1[[#This Row],[category &amp; sub-category]])-1)</f>
        <v>music</v>
      </c>
      <c r="V531" t="str">
        <f>+RIGHT(Table1[[#This Row],[category &amp; sub-category]],LEN(Table1[[#This Row],[category &amp; sub-category]])-SEARCH("/",Table1[[#This Row],[category &amp; sub-category]]))</f>
        <v>indie rock</v>
      </c>
    </row>
    <row r="532" spans="2:22" ht="15.75" customHeight="1" x14ac:dyDescent="0.25">
      <c r="B532">
        <v>529</v>
      </c>
      <c r="C532" t="s">
        <v>1103</v>
      </c>
      <c r="D532" s="3" t="s">
        <v>1104</v>
      </c>
      <c r="E532" s="6">
        <v>5100</v>
      </c>
      <c r="F532" s="6">
        <v>574</v>
      </c>
      <c r="G532" s="17">
        <f>ROUND(Table1[[#This Row],[pledged]]/Table1[[#This Row],[goal]]*100,2)</f>
        <v>11.25</v>
      </c>
      <c r="H532" s="5">
        <f>+Table1[[#This Row],[pledged]]/Table1[[#This Row],[goal]]</f>
        <v>0.11254901960784314</v>
      </c>
      <c r="I532" t="s">
        <v>14</v>
      </c>
      <c r="J532">
        <v>9</v>
      </c>
      <c r="K532" s="8">
        <f>IFERROR(Table1[[#This Row],[pledged]]/Table1[[#This Row],[backers_count]],"NA")</f>
        <v>63.777777777777779</v>
      </c>
      <c r="L532" t="s">
        <v>21</v>
      </c>
      <c r="M532" t="s">
        <v>22</v>
      </c>
      <c r="N532">
        <v>1399698000</v>
      </c>
      <c r="O532">
        <v>1402117200</v>
      </c>
      <c r="P532" s="11">
        <f>+(((Table1[[#This Row],[launched_at]]/60)/60)/24)+DATE(1970,1,1)</f>
        <v>41769.208333333336</v>
      </c>
      <c r="Q532" s="11">
        <f>+(((Table1[[#This Row],[deadline]]/60)/60)/24)+DATE(1970,1,1)</f>
        <v>41797.208333333336</v>
      </c>
      <c r="R532" t="b">
        <v>0</v>
      </c>
      <c r="S532" t="b">
        <v>0</v>
      </c>
      <c r="T532" t="s">
        <v>89</v>
      </c>
      <c r="U532" t="str">
        <f>+LEFT(Table1[[#This Row],[category &amp; sub-category]],FIND("/",Table1[[#This Row],[category &amp; sub-category]])-1)</f>
        <v>games</v>
      </c>
      <c r="V532" t="str">
        <f>+RIGHT(Table1[[#This Row],[category &amp; sub-category]],LEN(Table1[[#This Row],[category &amp; sub-category]])-SEARCH("/",Table1[[#This Row],[category &amp; sub-category]]))</f>
        <v>video games</v>
      </c>
    </row>
    <row r="533" spans="2:22" ht="15.75" customHeight="1" x14ac:dyDescent="0.25">
      <c r="B533">
        <v>530</v>
      </c>
      <c r="C533" t="s">
        <v>1105</v>
      </c>
      <c r="D533" s="3" t="s">
        <v>1106</v>
      </c>
      <c r="E533" s="6">
        <v>105000</v>
      </c>
      <c r="F533" s="6">
        <v>96328</v>
      </c>
      <c r="G533" s="17">
        <f>ROUND(Table1[[#This Row],[pledged]]/Table1[[#This Row],[goal]]*100,2)</f>
        <v>91.74</v>
      </c>
      <c r="H533" s="5">
        <f>+Table1[[#This Row],[pledged]]/Table1[[#This Row],[goal]]</f>
        <v>0.91740952380952379</v>
      </c>
      <c r="I533" t="s">
        <v>14</v>
      </c>
      <c r="J533">
        <v>1784</v>
      </c>
      <c r="K533" s="8">
        <f>IFERROR(Table1[[#This Row],[pledged]]/Table1[[#This Row],[backers_count]],"NA")</f>
        <v>53.995515695067262</v>
      </c>
      <c r="L533" t="s">
        <v>21</v>
      </c>
      <c r="M533" t="s">
        <v>22</v>
      </c>
      <c r="N533">
        <v>1283230800</v>
      </c>
      <c r="O533">
        <v>1284440400</v>
      </c>
      <c r="P533" s="11">
        <f>+(((Table1[[#This Row],[launched_at]]/60)/60)/24)+DATE(1970,1,1)</f>
        <v>40421.208333333336</v>
      </c>
      <c r="Q533" s="11">
        <f>+(((Table1[[#This Row],[deadline]]/60)/60)/24)+DATE(1970,1,1)</f>
        <v>40435.208333333336</v>
      </c>
      <c r="R533" t="b">
        <v>0</v>
      </c>
      <c r="S533" t="b">
        <v>1</v>
      </c>
      <c r="T533" t="s">
        <v>119</v>
      </c>
      <c r="U533" t="str">
        <f>+LEFT(Table1[[#This Row],[category &amp; sub-category]],FIND("/",Table1[[#This Row],[category &amp; sub-category]])-1)</f>
        <v>publishing</v>
      </c>
      <c r="V533" t="str">
        <f>+RIGHT(Table1[[#This Row],[category &amp; sub-category]],LEN(Table1[[#This Row],[category &amp; sub-category]])-SEARCH("/",Table1[[#This Row],[category &amp; sub-category]]))</f>
        <v>fiction</v>
      </c>
    </row>
    <row r="534" spans="2:22" ht="15.75" customHeight="1" x14ac:dyDescent="0.25">
      <c r="B534">
        <v>531</v>
      </c>
      <c r="C534" t="s">
        <v>1107</v>
      </c>
      <c r="D534" s="3" t="s">
        <v>1108</v>
      </c>
      <c r="E534" s="6">
        <v>186700</v>
      </c>
      <c r="F534" s="6">
        <v>178338</v>
      </c>
      <c r="G534" s="17">
        <f>ROUND(Table1[[#This Row],[pledged]]/Table1[[#This Row],[goal]]*100,2)</f>
        <v>95.52</v>
      </c>
      <c r="H534" s="5">
        <f>+Table1[[#This Row],[pledged]]/Table1[[#This Row],[goal]]</f>
        <v>0.95521156936261387</v>
      </c>
      <c r="I534" t="s">
        <v>47</v>
      </c>
      <c r="J534">
        <v>3640</v>
      </c>
      <c r="K534" s="8">
        <f>IFERROR(Table1[[#This Row],[pledged]]/Table1[[#This Row],[backers_count]],"NA")</f>
        <v>48.993956043956047</v>
      </c>
      <c r="L534" t="s">
        <v>98</v>
      </c>
      <c r="M534" t="s">
        <v>99</v>
      </c>
      <c r="N534">
        <v>1384149600</v>
      </c>
      <c r="O534">
        <v>1388988000</v>
      </c>
      <c r="P534" s="11">
        <f>+(((Table1[[#This Row],[launched_at]]/60)/60)/24)+DATE(1970,1,1)</f>
        <v>41589.25</v>
      </c>
      <c r="Q534" s="11">
        <f>+(((Table1[[#This Row],[deadline]]/60)/60)/24)+DATE(1970,1,1)</f>
        <v>41645.25</v>
      </c>
      <c r="R534" t="b">
        <v>0</v>
      </c>
      <c r="S534" t="b">
        <v>0</v>
      </c>
      <c r="T534" t="s">
        <v>89</v>
      </c>
      <c r="U534" t="str">
        <f>+LEFT(Table1[[#This Row],[category &amp; sub-category]],FIND("/",Table1[[#This Row],[category &amp; sub-category]])-1)</f>
        <v>games</v>
      </c>
      <c r="V534" t="str">
        <f>+RIGHT(Table1[[#This Row],[category &amp; sub-category]],LEN(Table1[[#This Row],[category &amp; sub-category]])-SEARCH("/",Table1[[#This Row],[category &amp; sub-category]]))</f>
        <v>video games</v>
      </c>
    </row>
    <row r="535" spans="2:22" ht="15.75" customHeight="1" x14ac:dyDescent="0.25">
      <c r="B535">
        <v>532</v>
      </c>
      <c r="C535" t="s">
        <v>1109</v>
      </c>
      <c r="D535" s="3" t="s">
        <v>1110</v>
      </c>
      <c r="E535" s="6">
        <v>1600</v>
      </c>
      <c r="F535" s="6">
        <v>8046</v>
      </c>
      <c r="G535" s="17">
        <f>ROUND(Table1[[#This Row],[pledged]]/Table1[[#This Row],[goal]]*100,2)</f>
        <v>502.88</v>
      </c>
      <c r="H535" s="5">
        <f>+Table1[[#This Row],[pledged]]/Table1[[#This Row],[goal]]</f>
        <v>5.0287499999999996</v>
      </c>
      <c r="I535" t="s">
        <v>20</v>
      </c>
      <c r="J535">
        <v>126</v>
      </c>
      <c r="K535" s="8">
        <f>IFERROR(Table1[[#This Row],[pledged]]/Table1[[#This Row],[backers_count]],"NA")</f>
        <v>63.857142857142854</v>
      </c>
      <c r="L535" t="s">
        <v>15</v>
      </c>
      <c r="M535" t="s">
        <v>16</v>
      </c>
      <c r="N535">
        <v>1516860000</v>
      </c>
      <c r="O535">
        <v>1516946400</v>
      </c>
      <c r="P535" s="11">
        <f>+(((Table1[[#This Row],[launched_at]]/60)/60)/24)+DATE(1970,1,1)</f>
        <v>43125.25</v>
      </c>
      <c r="Q535" s="11">
        <f>+(((Table1[[#This Row],[deadline]]/60)/60)/24)+DATE(1970,1,1)</f>
        <v>43126.25</v>
      </c>
      <c r="R535" t="b">
        <v>0</v>
      </c>
      <c r="S535" t="b">
        <v>0</v>
      </c>
      <c r="T535" t="s">
        <v>33</v>
      </c>
      <c r="U535" t="str">
        <f>+LEFT(Table1[[#This Row],[category &amp; sub-category]],FIND("/",Table1[[#This Row],[category &amp; sub-category]])-1)</f>
        <v>theater</v>
      </c>
      <c r="V535" t="str">
        <f>+RIGHT(Table1[[#This Row],[category &amp; sub-category]],LEN(Table1[[#This Row],[category &amp; sub-category]])-SEARCH("/",Table1[[#This Row],[category &amp; sub-category]]))</f>
        <v>plays</v>
      </c>
    </row>
    <row r="536" spans="2:22" ht="15.75" customHeight="1" x14ac:dyDescent="0.25">
      <c r="B536">
        <v>533</v>
      </c>
      <c r="C536" t="s">
        <v>1111</v>
      </c>
      <c r="D536" s="3" t="s">
        <v>1112</v>
      </c>
      <c r="E536" s="6">
        <v>115600</v>
      </c>
      <c r="F536" s="6">
        <v>184086</v>
      </c>
      <c r="G536" s="17">
        <f>ROUND(Table1[[#This Row],[pledged]]/Table1[[#This Row],[goal]]*100,2)</f>
        <v>159.24</v>
      </c>
      <c r="H536" s="5">
        <f>+Table1[[#This Row],[pledged]]/Table1[[#This Row],[goal]]</f>
        <v>1.5924394463667819</v>
      </c>
      <c r="I536" t="s">
        <v>20</v>
      </c>
      <c r="J536">
        <v>2218</v>
      </c>
      <c r="K536" s="8">
        <f>IFERROR(Table1[[#This Row],[pledged]]/Table1[[#This Row],[backers_count]],"NA")</f>
        <v>82.996393146979258</v>
      </c>
      <c r="L536" t="s">
        <v>40</v>
      </c>
      <c r="M536" t="s">
        <v>41</v>
      </c>
      <c r="N536">
        <v>1374642000</v>
      </c>
      <c r="O536">
        <v>1377752400</v>
      </c>
      <c r="P536" s="11">
        <f>+(((Table1[[#This Row],[launched_at]]/60)/60)/24)+DATE(1970,1,1)</f>
        <v>41479.208333333336</v>
      </c>
      <c r="Q536" s="11">
        <f>+(((Table1[[#This Row],[deadline]]/60)/60)/24)+DATE(1970,1,1)</f>
        <v>41515.208333333336</v>
      </c>
      <c r="R536" t="b">
        <v>0</v>
      </c>
      <c r="S536" t="b">
        <v>0</v>
      </c>
      <c r="T536" t="s">
        <v>60</v>
      </c>
      <c r="U536" t="str">
        <f>+LEFT(Table1[[#This Row],[category &amp; sub-category]],FIND("/",Table1[[#This Row],[category &amp; sub-category]])-1)</f>
        <v>music</v>
      </c>
      <c r="V536" t="str">
        <f>+RIGHT(Table1[[#This Row],[category &amp; sub-category]],LEN(Table1[[#This Row],[category &amp; sub-category]])-SEARCH("/",Table1[[#This Row],[category &amp; sub-category]]))</f>
        <v>indie rock</v>
      </c>
    </row>
    <row r="537" spans="2:22" ht="15.75" customHeight="1" x14ac:dyDescent="0.25">
      <c r="B537">
        <v>534</v>
      </c>
      <c r="C537" t="s">
        <v>1113</v>
      </c>
      <c r="D537" s="3" t="s">
        <v>1114</v>
      </c>
      <c r="E537" s="6">
        <v>89100</v>
      </c>
      <c r="F537" s="6">
        <v>13385</v>
      </c>
      <c r="G537" s="17">
        <f>ROUND(Table1[[#This Row],[pledged]]/Table1[[#This Row],[goal]]*100,2)</f>
        <v>15.02</v>
      </c>
      <c r="H537" s="5">
        <f>+Table1[[#This Row],[pledged]]/Table1[[#This Row],[goal]]</f>
        <v>0.15022446689113356</v>
      </c>
      <c r="I537" t="s">
        <v>14</v>
      </c>
      <c r="J537">
        <v>243</v>
      </c>
      <c r="K537" s="8">
        <f>IFERROR(Table1[[#This Row],[pledged]]/Table1[[#This Row],[backers_count]],"NA")</f>
        <v>55.08230452674897</v>
      </c>
      <c r="L537" t="s">
        <v>21</v>
      </c>
      <c r="M537" t="s">
        <v>22</v>
      </c>
      <c r="N537">
        <v>1534482000</v>
      </c>
      <c r="O537">
        <v>1534568400</v>
      </c>
      <c r="P537" s="11">
        <f>+(((Table1[[#This Row],[launched_at]]/60)/60)/24)+DATE(1970,1,1)</f>
        <v>43329.208333333328</v>
      </c>
      <c r="Q537" s="11">
        <f>+(((Table1[[#This Row],[deadline]]/60)/60)/24)+DATE(1970,1,1)</f>
        <v>43330.208333333328</v>
      </c>
      <c r="R537" t="b">
        <v>0</v>
      </c>
      <c r="S537" t="b">
        <v>1</v>
      </c>
      <c r="T537" t="s">
        <v>53</v>
      </c>
      <c r="U537" t="str">
        <f>+LEFT(Table1[[#This Row],[category &amp; sub-category]],FIND("/",Table1[[#This Row],[category &amp; sub-category]])-1)</f>
        <v>film &amp; video</v>
      </c>
      <c r="V537" t="str">
        <f>+RIGHT(Table1[[#This Row],[category &amp; sub-category]],LEN(Table1[[#This Row],[category &amp; sub-category]])-SEARCH("/",Table1[[#This Row],[category &amp; sub-category]]))</f>
        <v>drama</v>
      </c>
    </row>
    <row r="538" spans="2:22" ht="15.75" customHeight="1" x14ac:dyDescent="0.25">
      <c r="B538">
        <v>535</v>
      </c>
      <c r="C538" t="s">
        <v>1115</v>
      </c>
      <c r="D538" s="3" t="s">
        <v>1116</v>
      </c>
      <c r="E538" s="6">
        <v>2600</v>
      </c>
      <c r="F538" s="6">
        <v>12533</v>
      </c>
      <c r="G538" s="17">
        <f>ROUND(Table1[[#This Row],[pledged]]/Table1[[#This Row],[goal]]*100,2)</f>
        <v>482.04</v>
      </c>
      <c r="H538" s="5">
        <f>+Table1[[#This Row],[pledged]]/Table1[[#This Row],[goal]]</f>
        <v>4.820384615384615</v>
      </c>
      <c r="I538" t="s">
        <v>20</v>
      </c>
      <c r="J538">
        <v>202</v>
      </c>
      <c r="K538" s="8">
        <f>IFERROR(Table1[[#This Row],[pledged]]/Table1[[#This Row],[backers_count]],"NA")</f>
        <v>62.044554455445542</v>
      </c>
      <c r="L538" t="s">
        <v>107</v>
      </c>
      <c r="M538" t="s">
        <v>108</v>
      </c>
      <c r="N538">
        <v>1528434000</v>
      </c>
      <c r="O538">
        <v>1528606800</v>
      </c>
      <c r="P538" s="11">
        <f>+(((Table1[[#This Row],[launched_at]]/60)/60)/24)+DATE(1970,1,1)</f>
        <v>43259.208333333328</v>
      </c>
      <c r="Q538" s="11">
        <f>+(((Table1[[#This Row],[deadline]]/60)/60)/24)+DATE(1970,1,1)</f>
        <v>43261.208333333328</v>
      </c>
      <c r="R538" t="b">
        <v>0</v>
      </c>
      <c r="S538" t="b">
        <v>1</v>
      </c>
      <c r="T538" t="s">
        <v>33</v>
      </c>
      <c r="U538" t="str">
        <f>+LEFT(Table1[[#This Row],[category &amp; sub-category]],FIND("/",Table1[[#This Row],[category &amp; sub-category]])-1)</f>
        <v>theater</v>
      </c>
      <c r="V538" t="str">
        <f>+RIGHT(Table1[[#This Row],[category &amp; sub-category]],LEN(Table1[[#This Row],[category &amp; sub-category]])-SEARCH("/",Table1[[#This Row],[category &amp; sub-category]]))</f>
        <v>plays</v>
      </c>
    </row>
    <row r="539" spans="2:22" ht="15.75" customHeight="1" x14ac:dyDescent="0.25">
      <c r="B539">
        <v>536</v>
      </c>
      <c r="C539" t="s">
        <v>1117</v>
      </c>
      <c r="D539" s="3" t="s">
        <v>1118</v>
      </c>
      <c r="E539" s="6">
        <v>9800</v>
      </c>
      <c r="F539" s="6">
        <v>14697</v>
      </c>
      <c r="G539" s="17">
        <f>ROUND(Table1[[#This Row],[pledged]]/Table1[[#This Row],[goal]]*100,2)</f>
        <v>149.97</v>
      </c>
      <c r="H539" s="5">
        <f>+Table1[[#This Row],[pledged]]/Table1[[#This Row],[goal]]</f>
        <v>1.4996938775510205</v>
      </c>
      <c r="I539" t="s">
        <v>20</v>
      </c>
      <c r="J539">
        <v>140</v>
      </c>
      <c r="K539" s="8">
        <f>IFERROR(Table1[[#This Row],[pledged]]/Table1[[#This Row],[backers_count]],"NA")</f>
        <v>104.97857142857143</v>
      </c>
      <c r="L539" t="s">
        <v>107</v>
      </c>
      <c r="M539" t="s">
        <v>108</v>
      </c>
      <c r="N539">
        <v>1282626000</v>
      </c>
      <c r="O539">
        <v>1284872400</v>
      </c>
      <c r="P539" s="11">
        <f>+(((Table1[[#This Row],[launched_at]]/60)/60)/24)+DATE(1970,1,1)</f>
        <v>40414.208333333336</v>
      </c>
      <c r="Q539" s="11">
        <f>+(((Table1[[#This Row],[deadline]]/60)/60)/24)+DATE(1970,1,1)</f>
        <v>40440.208333333336</v>
      </c>
      <c r="R539" t="b">
        <v>0</v>
      </c>
      <c r="S539" t="b">
        <v>0</v>
      </c>
      <c r="T539" t="s">
        <v>119</v>
      </c>
      <c r="U539" t="str">
        <f>+LEFT(Table1[[#This Row],[category &amp; sub-category]],FIND("/",Table1[[#This Row],[category &amp; sub-category]])-1)</f>
        <v>publishing</v>
      </c>
      <c r="V539" t="str">
        <f>+RIGHT(Table1[[#This Row],[category &amp; sub-category]],LEN(Table1[[#This Row],[category &amp; sub-category]])-SEARCH("/",Table1[[#This Row],[category &amp; sub-category]]))</f>
        <v>fiction</v>
      </c>
    </row>
    <row r="540" spans="2:22" ht="15.75" customHeight="1" x14ac:dyDescent="0.25">
      <c r="B540">
        <v>537</v>
      </c>
      <c r="C540" t="s">
        <v>1119</v>
      </c>
      <c r="D540" s="3" t="s">
        <v>1120</v>
      </c>
      <c r="E540" s="6">
        <v>84400</v>
      </c>
      <c r="F540" s="6">
        <v>98935</v>
      </c>
      <c r="G540" s="17">
        <f>ROUND(Table1[[#This Row],[pledged]]/Table1[[#This Row],[goal]]*100,2)</f>
        <v>117.22</v>
      </c>
      <c r="H540" s="5">
        <f>+Table1[[#This Row],[pledged]]/Table1[[#This Row],[goal]]</f>
        <v>1.1722156398104266</v>
      </c>
      <c r="I540" t="s">
        <v>20</v>
      </c>
      <c r="J540">
        <v>1052</v>
      </c>
      <c r="K540" s="8">
        <f>IFERROR(Table1[[#This Row],[pledged]]/Table1[[#This Row],[backers_count]],"NA")</f>
        <v>94.044676806083643</v>
      </c>
      <c r="L540" t="s">
        <v>36</v>
      </c>
      <c r="M540" t="s">
        <v>37</v>
      </c>
      <c r="N540">
        <v>1535605200</v>
      </c>
      <c r="O540">
        <v>1537592400</v>
      </c>
      <c r="P540" s="11">
        <f>+(((Table1[[#This Row],[launched_at]]/60)/60)/24)+DATE(1970,1,1)</f>
        <v>43342.208333333328</v>
      </c>
      <c r="Q540" s="11">
        <f>+(((Table1[[#This Row],[deadline]]/60)/60)/24)+DATE(1970,1,1)</f>
        <v>43365.208333333328</v>
      </c>
      <c r="R540" t="b">
        <v>1</v>
      </c>
      <c r="S540" t="b">
        <v>1</v>
      </c>
      <c r="T540" t="s">
        <v>42</v>
      </c>
      <c r="U540" t="str">
        <f>+LEFT(Table1[[#This Row],[category &amp; sub-category]],FIND("/",Table1[[#This Row],[category &amp; sub-category]])-1)</f>
        <v>film &amp; video</v>
      </c>
      <c r="V540" t="str">
        <f>+RIGHT(Table1[[#This Row],[category &amp; sub-category]],LEN(Table1[[#This Row],[category &amp; sub-category]])-SEARCH("/",Table1[[#This Row],[category &amp; sub-category]]))</f>
        <v>documentary</v>
      </c>
    </row>
    <row r="541" spans="2:22" ht="15.75" customHeight="1" x14ac:dyDescent="0.25">
      <c r="B541">
        <v>538</v>
      </c>
      <c r="C541" t="s">
        <v>1121</v>
      </c>
      <c r="D541" s="3" t="s">
        <v>1122</v>
      </c>
      <c r="E541" s="6">
        <v>151300</v>
      </c>
      <c r="F541" s="6">
        <v>57034</v>
      </c>
      <c r="G541" s="17">
        <f>ROUND(Table1[[#This Row],[pledged]]/Table1[[#This Row],[goal]]*100,2)</f>
        <v>37.700000000000003</v>
      </c>
      <c r="H541" s="5">
        <f>+Table1[[#This Row],[pledged]]/Table1[[#This Row],[goal]]</f>
        <v>0.37695968274950431</v>
      </c>
      <c r="I541" t="s">
        <v>14</v>
      </c>
      <c r="J541">
        <v>1296</v>
      </c>
      <c r="K541" s="8">
        <f>IFERROR(Table1[[#This Row],[pledged]]/Table1[[#This Row],[backers_count]],"NA")</f>
        <v>44.007716049382715</v>
      </c>
      <c r="L541" t="s">
        <v>21</v>
      </c>
      <c r="M541" t="s">
        <v>22</v>
      </c>
      <c r="N541">
        <v>1379826000</v>
      </c>
      <c r="O541">
        <v>1381208400</v>
      </c>
      <c r="P541" s="11">
        <f>+(((Table1[[#This Row],[launched_at]]/60)/60)/24)+DATE(1970,1,1)</f>
        <v>41539.208333333336</v>
      </c>
      <c r="Q541" s="11">
        <f>+(((Table1[[#This Row],[deadline]]/60)/60)/24)+DATE(1970,1,1)</f>
        <v>41555.208333333336</v>
      </c>
      <c r="R541" t="b">
        <v>0</v>
      </c>
      <c r="S541" t="b">
        <v>0</v>
      </c>
      <c r="T541" t="s">
        <v>292</v>
      </c>
      <c r="U541" t="str">
        <f>+LEFT(Table1[[#This Row],[category &amp; sub-category]],FIND("/",Table1[[#This Row],[category &amp; sub-category]])-1)</f>
        <v>games</v>
      </c>
      <c r="V541" t="str">
        <f>+RIGHT(Table1[[#This Row],[category &amp; sub-category]],LEN(Table1[[#This Row],[category &amp; sub-category]])-SEARCH("/",Table1[[#This Row],[category &amp; sub-category]]))</f>
        <v>mobile games</v>
      </c>
    </row>
    <row r="542" spans="2:22" ht="15.75" customHeight="1" x14ac:dyDescent="0.25">
      <c r="B542">
        <v>539</v>
      </c>
      <c r="C542" t="s">
        <v>1123</v>
      </c>
      <c r="D542" s="3" t="s">
        <v>1124</v>
      </c>
      <c r="E542" s="6">
        <v>9800</v>
      </c>
      <c r="F542" s="6">
        <v>7120</v>
      </c>
      <c r="G542" s="17">
        <f>ROUND(Table1[[#This Row],[pledged]]/Table1[[#This Row],[goal]]*100,2)</f>
        <v>72.650000000000006</v>
      </c>
      <c r="H542" s="5">
        <f>+Table1[[#This Row],[pledged]]/Table1[[#This Row],[goal]]</f>
        <v>0.72653061224489801</v>
      </c>
      <c r="I542" t="s">
        <v>14</v>
      </c>
      <c r="J542">
        <v>77</v>
      </c>
      <c r="K542" s="8">
        <f>IFERROR(Table1[[#This Row],[pledged]]/Table1[[#This Row],[backers_count]],"NA")</f>
        <v>92.467532467532465</v>
      </c>
      <c r="L542" t="s">
        <v>21</v>
      </c>
      <c r="M542" t="s">
        <v>22</v>
      </c>
      <c r="N542">
        <v>1561957200</v>
      </c>
      <c r="O542">
        <v>1562475600</v>
      </c>
      <c r="P542" s="11">
        <f>+(((Table1[[#This Row],[launched_at]]/60)/60)/24)+DATE(1970,1,1)</f>
        <v>43647.208333333328</v>
      </c>
      <c r="Q542" s="11">
        <f>+(((Table1[[#This Row],[deadline]]/60)/60)/24)+DATE(1970,1,1)</f>
        <v>43653.208333333328</v>
      </c>
      <c r="R542" t="b">
        <v>0</v>
      </c>
      <c r="S542" t="b">
        <v>1</v>
      </c>
      <c r="T542" t="s">
        <v>17</v>
      </c>
      <c r="U542" t="str">
        <f>+LEFT(Table1[[#This Row],[category &amp; sub-category]],FIND("/",Table1[[#This Row],[category &amp; sub-category]])-1)</f>
        <v>food</v>
      </c>
      <c r="V542" t="str">
        <f>+RIGHT(Table1[[#This Row],[category &amp; sub-category]],LEN(Table1[[#This Row],[category &amp; sub-category]])-SEARCH("/",Table1[[#This Row],[category &amp; sub-category]]))</f>
        <v>food trucks</v>
      </c>
    </row>
    <row r="543" spans="2:22" ht="15.75" customHeight="1" x14ac:dyDescent="0.25">
      <c r="B543">
        <v>540</v>
      </c>
      <c r="C543" t="s">
        <v>1125</v>
      </c>
      <c r="D543" s="3" t="s">
        <v>1126</v>
      </c>
      <c r="E543" s="6">
        <v>5300</v>
      </c>
      <c r="F543" s="6">
        <v>14097</v>
      </c>
      <c r="G543" s="17">
        <f>ROUND(Table1[[#This Row],[pledged]]/Table1[[#This Row],[goal]]*100,2)</f>
        <v>265.98</v>
      </c>
      <c r="H543" s="5">
        <f>+Table1[[#This Row],[pledged]]/Table1[[#This Row],[goal]]</f>
        <v>2.6598113207547169</v>
      </c>
      <c r="I543" t="s">
        <v>20</v>
      </c>
      <c r="J543">
        <v>247</v>
      </c>
      <c r="K543" s="8">
        <f>IFERROR(Table1[[#This Row],[pledged]]/Table1[[#This Row],[backers_count]],"NA")</f>
        <v>57.072874493927124</v>
      </c>
      <c r="L543" t="s">
        <v>21</v>
      </c>
      <c r="M543" t="s">
        <v>22</v>
      </c>
      <c r="N543">
        <v>1525496400</v>
      </c>
      <c r="O543">
        <v>1527397200</v>
      </c>
      <c r="P543" s="11">
        <f>+(((Table1[[#This Row],[launched_at]]/60)/60)/24)+DATE(1970,1,1)</f>
        <v>43225.208333333328</v>
      </c>
      <c r="Q543" s="11">
        <f>+(((Table1[[#This Row],[deadline]]/60)/60)/24)+DATE(1970,1,1)</f>
        <v>43247.208333333328</v>
      </c>
      <c r="R543" t="b">
        <v>0</v>
      </c>
      <c r="S543" t="b">
        <v>0</v>
      </c>
      <c r="T543" t="s">
        <v>122</v>
      </c>
      <c r="U543" t="str">
        <f>+LEFT(Table1[[#This Row],[category &amp; sub-category]],FIND("/",Table1[[#This Row],[category &amp; sub-category]])-1)</f>
        <v>photography</v>
      </c>
      <c r="V543" t="str">
        <f>+RIGHT(Table1[[#This Row],[category &amp; sub-category]],LEN(Table1[[#This Row],[category &amp; sub-category]])-SEARCH("/",Table1[[#This Row],[category &amp; sub-category]]))</f>
        <v>photography books</v>
      </c>
    </row>
    <row r="544" spans="2:22" ht="15.75" customHeight="1" x14ac:dyDescent="0.25">
      <c r="B544">
        <v>541</v>
      </c>
      <c r="C544" t="s">
        <v>1127</v>
      </c>
      <c r="D544" s="3" t="s">
        <v>1128</v>
      </c>
      <c r="E544" s="6">
        <v>178000</v>
      </c>
      <c r="F544" s="6">
        <v>43086</v>
      </c>
      <c r="G544" s="17">
        <f>ROUND(Table1[[#This Row],[pledged]]/Table1[[#This Row],[goal]]*100,2)</f>
        <v>24.21</v>
      </c>
      <c r="H544" s="5">
        <f>+Table1[[#This Row],[pledged]]/Table1[[#This Row],[goal]]</f>
        <v>0.24205617977528091</v>
      </c>
      <c r="I544" t="s">
        <v>14</v>
      </c>
      <c r="J544">
        <v>395</v>
      </c>
      <c r="K544" s="8">
        <f>IFERROR(Table1[[#This Row],[pledged]]/Table1[[#This Row],[backers_count]],"NA")</f>
        <v>109.07848101265823</v>
      </c>
      <c r="L544" t="s">
        <v>107</v>
      </c>
      <c r="M544" t="s">
        <v>108</v>
      </c>
      <c r="N544">
        <v>1433912400</v>
      </c>
      <c r="O544">
        <v>1436158800</v>
      </c>
      <c r="P544" s="11">
        <f>+(((Table1[[#This Row],[launched_at]]/60)/60)/24)+DATE(1970,1,1)</f>
        <v>42165.208333333328</v>
      </c>
      <c r="Q544" s="11">
        <f>+(((Table1[[#This Row],[deadline]]/60)/60)/24)+DATE(1970,1,1)</f>
        <v>42191.208333333328</v>
      </c>
      <c r="R544" t="b">
        <v>0</v>
      </c>
      <c r="S544" t="b">
        <v>0</v>
      </c>
      <c r="T544" t="s">
        <v>292</v>
      </c>
      <c r="U544" t="str">
        <f>+LEFT(Table1[[#This Row],[category &amp; sub-category]],FIND("/",Table1[[#This Row],[category &amp; sub-category]])-1)</f>
        <v>games</v>
      </c>
      <c r="V544" t="str">
        <f>+RIGHT(Table1[[#This Row],[category &amp; sub-category]],LEN(Table1[[#This Row],[category &amp; sub-category]])-SEARCH("/",Table1[[#This Row],[category &amp; sub-category]]))</f>
        <v>mobile games</v>
      </c>
    </row>
    <row r="545" spans="2:22" ht="15.75" customHeight="1" x14ac:dyDescent="0.25">
      <c r="B545">
        <v>542</v>
      </c>
      <c r="C545" t="s">
        <v>1129</v>
      </c>
      <c r="D545" s="3" t="s">
        <v>1130</v>
      </c>
      <c r="E545" s="6">
        <v>77000</v>
      </c>
      <c r="F545" s="6">
        <v>1930</v>
      </c>
      <c r="G545" s="17">
        <f>ROUND(Table1[[#This Row],[pledged]]/Table1[[#This Row],[goal]]*100,2)</f>
        <v>2.5099999999999998</v>
      </c>
      <c r="H545" s="5">
        <f>+Table1[[#This Row],[pledged]]/Table1[[#This Row],[goal]]</f>
        <v>2.5064935064935064E-2</v>
      </c>
      <c r="I545" t="s">
        <v>14</v>
      </c>
      <c r="J545">
        <v>49</v>
      </c>
      <c r="K545" s="8">
        <f>IFERROR(Table1[[#This Row],[pledged]]/Table1[[#This Row],[backers_count]],"NA")</f>
        <v>39.387755102040813</v>
      </c>
      <c r="L545" t="s">
        <v>40</v>
      </c>
      <c r="M545" t="s">
        <v>41</v>
      </c>
      <c r="N545">
        <v>1453442400</v>
      </c>
      <c r="O545">
        <v>1456034400</v>
      </c>
      <c r="P545" s="11">
        <f>+(((Table1[[#This Row],[launched_at]]/60)/60)/24)+DATE(1970,1,1)</f>
        <v>42391.25</v>
      </c>
      <c r="Q545" s="11">
        <f>+(((Table1[[#This Row],[deadline]]/60)/60)/24)+DATE(1970,1,1)</f>
        <v>42421.25</v>
      </c>
      <c r="R545" t="b">
        <v>0</v>
      </c>
      <c r="S545" t="b">
        <v>0</v>
      </c>
      <c r="T545" t="s">
        <v>60</v>
      </c>
      <c r="U545" t="str">
        <f>+LEFT(Table1[[#This Row],[category &amp; sub-category]],FIND("/",Table1[[#This Row],[category &amp; sub-category]])-1)</f>
        <v>music</v>
      </c>
      <c r="V545" t="str">
        <f>+RIGHT(Table1[[#This Row],[category &amp; sub-category]],LEN(Table1[[#This Row],[category &amp; sub-category]])-SEARCH("/",Table1[[#This Row],[category &amp; sub-category]]))</f>
        <v>indie rock</v>
      </c>
    </row>
    <row r="546" spans="2:22" ht="15.75" customHeight="1" x14ac:dyDescent="0.25">
      <c r="B546">
        <v>543</v>
      </c>
      <c r="C546" t="s">
        <v>1131</v>
      </c>
      <c r="D546" s="3" t="s">
        <v>1132</v>
      </c>
      <c r="E546" s="6">
        <v>84900</v>
      </c>
      <c r="F546" s="6">
        <v>13864</v>
      </c>
      <c r="G546" s="17">
        <f>ROUND(Table1[[#This Row],[pledged]]/Table1[[#This Row],[goal]]*100,2)</f>
        <v>16.329999999999998</v>
      </c>
      <c r="H546" s="5">
        <f>+Table1[[#This Row],[pledged]]/Table1[[#This Row],[goal]]</f>
        <v>0.1632979976442874</v>
      </c>
      <c r="I546" t="s">
        <v>14</v>
      </c>
      <c r="J546">
        <v>180</v>
      </c>
      <c r="K546" s="8">
        <f>IFERROR(Table1[[#This Row],[pledged]]/Table1[[#This Row],[backers_count]],"NA")</f>
        <v>77.022222222222226</v>
      </c>
      <c r="L546" t="s">
        <v>21</v>
      </c>
      <c r="M546" t="s">
        <v>22</v>
      </c>
      <c r="N546">
        <v>1378875600</v>
      </c>
      <c r="O546">
        <v>1380171600</v>
      </c>
      <c r="P546" s="11">
        <f>+(((Table1[[#This Row],[launched_at]]/60)/60)/24)+DATE(1970,1,1)</f>
        <v>41528.208333333336</v>
      </c>
      <c r="Q546" s="11">
        <f>+(((Table1[[#This Row],[deadline]]/60)/60)/24)+DATE(1970,1,1)</f>
        <v>41543.208333333336</v>
      </c>
      <c r="R546" t="b">
        <v>0</v>
      </c>
      <c r="S546" t="b">
        <v>0</v>
      </c>
      <c r="T546" t="s">
        <v>89</v>
      </c>
      <c r="U546" t="str">
        <f>+LEFT(Table1[[#This Row],[category &amp; sub-category]],FIND("/",Table1[[#This Row],[category &amp; sub-category]])-1)</f>
        <v>games</v>
      </c>
      <c r="V546" t="str">
        <f>+RIGHT(Table1[[#This Row],[category &amp; sub-category]],LEN(Table1[[#This Row],[category &amp; sub-category]])-SEARCH("/",Table1[[#This Row],[category &amp; sub-category]]))</f>
        <v>video games</v>
      </c>
    </row>
    <row r="547" spans="2:22" ht="15.75" customHeight="1" x14ac:dyDescent="0.25">
      <c r="B547">
        <v>544</v>
      </c>
      <c r="C547" t="s">
        <v>1133</v>
      </c>
      <c r="D547" s="3" t="s">
        <v>1134</v>
      </c>
      <c r="E547" s="6">
        <v>2800</v>
      </c>
      <c r="F547" s="6">
        <v>7742</v>
      </c>
      <c r="G547" s="17">
        <f>ROUND(Table1[[#This Row],[pledged]]/Table1[[#This Row],[goal]]*100,2)</f>
        <v>276.5</v>
      </c>
      <c r="H547" s="5">
        <f>+Table1[[#This Row],[pledged]]/Table1[[#This Row],[goal]]</f>
        <v>2.7650000000000001</v>
      </c>
      <c r="I547" t="s">
        <v>20</v>
      </c>
      <c r="J547">
        <v>84</v>
      </c>
      <c r="K547" s="8">
        <f>IFERROR(Table1[[#This Row],[pledged]]/Table1[[#This Row],[backers_count]],"NA")</f>
        <v>92.166666666666671</v>
      </c>
      <c r="L547" t="s">
        <v>21</v>
      </c>
      <c r="M547" t="s">
        <v>22</v>
      </c>
      <c r="N547">
        <v>1452232800</v>
      </c>
      <c r="O547">
        <v>1453356000</v>
      </c>
      <c r="P547" s="11">
        <f>+(((Table1[[#This Row],[launched_at]]/60)/60)/24)+DATE(1970,1,1)</f>
        <v>42377.25</v>
      </c>
      <c r="Q547" s="11">
        <f>+(((Table1[[#This Row],[deadline]]/60)/60)/24)+DATE(1970,1,1)</f>
        <v>42390.25</v>
      </c>
      <c r="R547" t="b">
        <v>0</v>
      </c>
      <c r="S547" t="b">
        <v>0</v>
      </c>
      <c r="T547" t="s">
        <v>23</v>
      </c>
      <c r="U547" t="str">
        <f>+LEFT(Table1[[#This Row],[category &amp; sub-category]],FIND("/",Table1[[#This Row],[category &amp; sub-category]])-1)</f>
        <v>music</v>
      </c>
      <c r="V547" t="str">
        <f>+RIGHT(Table1[[#This Row],[category &amp; sub-category]],LEN(Table1[[#This Row],[category &amp; sub-category]])-SEARCH("/",Table1[[#This Row],[category &amp; sub-category]]))</f>
        <v>rock</v>
      </c>
    </row>
    <row r="548" spans="2:22" ht="15.75" customHeight="1" x14ac:dyDescent="0.25">
      <c r="B548">
        <v>545</v>
      </c>
      <c r="C548" t="s">
        <v>1135</v>
      </c>
      <c r="D548" s="3" t="s">
        <v>1136</v>
      </c>
      <c r="E548" s="6">
        <v>184800</v>
      </c>
      <c r="F548" s="6">
        <v>164109</v>
      </c>
      <c r="G548" s="17">
        <f>ROUND(Table1[[#This Row],[pledged]]/Table1[[#This Row],[goal]]*100,2)</f>
        <v>88.8</v>
      </c>
      <c r="H548" s="5">
        <f>+Table1[[#This Row],[pledged]]/Table1[[#This Row],[goal]]</f>
        <v>0.88803571428571426</v>
      </c>
      <c r="I548" t="s">
        <v>14</v>
      </c>
      <c r="J548">
        <v>2690</v>
      </c>
      <c r="K548" s="8">
        <f>IFERROR(Table1[[#This Row],[pledged]]/Table1[[#This Row],[backers_count]],"NA")</f>
        <v>61.007063197026021</v>
      </c>
      <c r="L548" t="s">
        <v>21</v>
      </c>
      <c r="M548" t="s">
        <v>22</v>
      </c>
      <c r="N548">
        <v>1577253600</v>
      </c>
      <c r="O548">
        <v>1578981600</v>
      </c>
      <c r="P548" s="11">
        <f>+(((Table1[[#This Row],[launched_at]]/60)/60)/24)+DATE(1970,1,1)</f>
        <v>43824.25</v>
      </c>
      <c r="Q548" s="11">
        <f>+(((Table1[[#This Row],[deadline]]/60)/60)/24)+DATE(1970,1,1)</f>
        <v>43844.25</v>
      </c>
      <c r="R548" t="b">
        <v>0</v>
      </c>
      <c r="S548" t="b">
        <v>0</v>
      </c>
      <c r="T548" t="s">
        <v>33</v>
      </c>
      <c r="U548" t="str">
        <f>+LEFT(Table1[[#This Row],[category &amp; sub-category]],FIND("/",Table1[[#This Row],[category &amp; sub-category]])-1)</f>
        <v>theater</v>
      </c>
      <c r="V548" t="str">
        <f>+RIGHT(Table1[[#This Row],[category &amp; sub-category]],LEN(Table1[[#This Row],[category &amp; sub-category]])-SEARCH("/",Table1[[#This Row],[category &amp; sub-category]]))</f>
        <v>plays</v>
      </c>
    </row>
    <row r="549" spans="2:22" ht="15.75" customHeight="1" x14ac:dyDescent="0.25">
      <c r="B549">
        <v>546</v>
      </c>
      <c r="C549" t="s">
        <v>1137</v>
      </c>
      <c r="D549" s="3" t="s">
        <v>1138</v>
      </c>
      <c r="E549" s="6">
        <v>4200</v>
      </c>
      <c r="F549" s="6">
        <v>6870</v>
      </c>
      <c r="G549" s="17">
        <f>ROUND(Table1[[#This Row],[pledged]]/Table1[[#This Row],[goal]]*100,2)</f>
        <v>163.57</v>
      </c>
      <c r="H549" s="5">
        <f>+Table1[[#This Row],[pledged]]/Table1[[#This Row],[goal]]</f>
        <v>1.6357142857142857</v>
      </c>
      <c r="I549" t="s">
        <v>20</v>
      </c>
      <c r="J549">
        <v>88</v>
      </c>
      <c r="K549" s="8">
        <f>IFERROR(Table1[[#This Row],[pledged]]/Table1[[#This Row],[backers_count]],"NA")</f>
        <v>78.068181818181813</v>
      </c>
      <c r="L549" t="s">
        <v>21</v>
      </c>
      <c r="M549" t="s">
        <v>22</v>
      </c>
      <c r="N549">
        <v>1537160400</v>
      </c>
      <c r="O549">
        <v>1537419600</v>
      </c>
      <c r="P549" s="11">
        <f>+(((Table1[[#This Row],[launched_at]]/60)/60)/24)+DATE(1970,1,1)</f>
        <v>43360.208333333328</v>
      </c>
      <c r="Q549" s="11">
        <f>+(((Table1[[#This Row],[deadline]]/60)/60)/24)+DATE(1970,1,1)</f>
        <v>43363.208333333328</v>
      </c>
      <c r="R549" t="b">
        <v>0</v>
      </c>
      <c r="S549" t="b">
        <v>1</v>
      </c>
      <c r="T549" t="s">
        <v>33</v>
      </c>
      <c r="U549" t="str">
        <f>+LEFT(Table1[[#This Row],[category &amp; sub-category]],FIND("/",Table1[[#This Row],[category &amp; sub-category]])-1)</f>
        <v>theater</v>
      </c>
      <c r="V549" t="str">
        <f>+RIGHT(Table1[[#This Row],[category &amp; sub-category]],LEN(Table1[[#This Row],[category &amp; sub-category]])-SEARCH("/",Table1[[#This Row],[category &amp; sub-category]]))</f>
        <v>plays</v>
      </c>
    </row>
    <row r="550" spans="2:22" ht="15.75" customHeight="1" x14ac:dyDescent="0.25">
      <c r="B550">
        <v>547</v>
      </c>
      <c r="C550" t="s">
        <v>1139</v>
      </c>
      <c r="D550" s="3" t="s">
        <v>1140</v>
      </c>
      <c r="E550" s="6">
        <v>1300</v>
      </c>
      <c r="F550" s="6">
        <v>12597</v>
      </c>
      <c r="G550" s="17">
        <f>ROUND(Table1[[#This Row],[pledged]]/Table1[[#This Row],[goal]]*100,2)</f>
        <v>969</v>
      </c>
      <c r="H550" s="5">
        <f>+Table1[[#This Row],[pledged]]/Table1[[#This Row],[goal]]</f>
        <v>9.69</v>
      </c>
      <c r="I550" t="s">
        <v>20</v>
      </c>
      <c r="J550">
        <v>156</v>
      </c>
      <c r="K550" s="8">
        <f>IFERROR(Table1[[#This Row],[pledged]]/Table1[[#This Row],[backers_count]],"NA")</f>
        <v>80.75</v>
      </c>
      <c r="L550" t="s">
        <v>21</v>
      </c>
      <c r="M550" t="s">
        <v>22</v>
      </c>
      <c r="N550">
        <v>1422165600</v>
      </c>
      <c r="O550">
        <v>1423202400</v>
      </c>
      <c r="P550" s="11">
        <f>+(((Table1[[#This Row],[launched_at]]/60)/60)/24)+DATE(1970,1,1)</f>
        <v>42029.25</v>
      </c>
      <c r="Q550" s="11">
        <f>+(((Table1[[#This Row],[deadline]]/60)/60)/24)+DATE(1970,1,1)</f>
        <v>42041.25</v>
      </c>
      <c r="R550" t="b">
        <v>0</v>
      </c>
      <c r="S550" t="b">
        <v>0</v>
      </c>
      <c r="T550" t="s">
        <v>53</v>
      </c>
      <c r="U550" t="str">
        <f>+LEFT(Table1[[#This Row],[category &amp; sub-category]],FIND("/",Table1[[#This Row],[category &amp; sub-category]])-1)</f>
        <v>film &amp; video</v>
      </c>
      <c r="V550" t="str">
        <f>+RIGHT(Table1[[#This Row],[category &amp; sub-category]],LEN(Table1[[#This Row],[category &amp; sub-category]])-SEARCH("/",Table1[[#This Row],[category &amp; sub-category]]))</f>
        <v>drama</v>
      </c>
    </row>
    <row r="551" spans="2:22" ht="15.75" customHeight="1" x14ac:dyDescent="0.25">
      <c r="B551">
        <v>548</v>
      </c>
      <c r="C551" t="s">
        <v>1141</v>
      </c>
      <c r="D551" s="3" t="s">
        <v>1142</v>
      </c>
      <c r="E551" s="6">
        <v>66100</v>
      </c>
      <c r="F551" s="6">
        <v>179074</v>
      </c>
      <c r="G551" s="17">
        <f>ROUND(Table1[[#This Row],[pledged]]/Table1[[#This Row],[goal]]*100,2)</f>
        <v>270.91000000000003</v>
      </c>
      <c r="H551" s="5">
        <f>+Table1[[#This Row],[pledged]]/Table1[[#This Row],[goal]]</f>
        <v>2.7091376701966716</v>
      </c>
      <c r="I551" t="s">
        <v>20</v>
      </c>
      <c r="J551">
        <v>2985</v>
      </c>
      <c r="K551" s="8">
        <f>IFERROR(Table1[[#This Row],[pledged]]/Table1[[#This Row],[backers_count]],"NA")</f>
        <v>59.991289782244557</v>
      </c>
      <c r="L551" t="s">
        <v>21</v>
      </c>
      <c r="M551" t="s">
        <v>22</v>
      </c>
      <c r="N551">
        <v>1459486800</v>
      </c>
      <c r="O551">
        <v>1460610000</v>
      </c>
      <c r="P551" s="11">
        <f>+(((Table1[[#This Row],[launched_at]]/60)/60)/24)+DATE(1970,1,1)</f>
        <v>42461.208333333328</v>
      </c>
      <c r="Q551" s="11">
        <f>+(((Table1[[#This Row],[deadline]]/60)/60)/24)+DATE(1970,1,1)</f>
        <v>42474.208333333328</v>
      </c>
      <c r="R551" t="b">
        <v>0</v>
      </c>
      <c r="S551" t="b">
        <v>0</v>
      </c>
      <c r="T551" t="s">
        <v>33</v>
      </c>
      <c r="U551" t="str">
        <f>+LEFT(Table1[[#This Row],[category &amp; sub-category]],FIND("/",Table1[[#This Row],[category &amp; sub-category]])-1)</f>
        <v>theater</v>
      </c>
      <c r="V551" t="str">
        <f>+RIGHT(Table1[[#This Row],[category &amp; sub-category]],LEN(Table1[[#This Row],[category &amp; sub-category]])-SEARCH("/",Table1[[#This Row],[category &amp; sub-category]]))</f>
        <v>plays</v>
      </c>
    </row>
    <row r="552" spans="2:22" ht="15.75" customHeight="1" x14ac:dyDescent="0.25">
      <c r="B552">
        <v>549</v>
      </c>
      <c r="C552" t="s">
        <v>1143</v>
      </c>
      <c r="D552" s="3" t="s">
        <v>1144</v>
      </c>
      <c r="E552" s="6">
        <v>29500</v>
      </c>
      <c r="F552" s="6">
        <v>83843</v>
      </c>
      <c r="G552" s="17">
        <f>ROUND(Table1[[#This Row],[pledged]]/Table1[[#This Row],[goal]]*100,2)</f>
        <v>284.20999999999998</v>
      </c>
      <c r="H552" s="5">
        <f>+Table1[[#This Row],[pledged]]/Table1[[#This Row],[goal]]</f>
        <v>2.8421355932203389</v>
      </c>
      <c r="I552" t="s">
        <v>20</v>
      </c>
      <c r="J552">
        <v>762</v>
      </c>
      <c r="K552" s="8">
        <f>IFERROR(Table1[[#This Row],[pledged]]/Table1[[#This Row],[backers_count]],"NA")</f>
        <v>110.03018372703411</v>
      </c>
      <c r="L552" t="s">
        <v>21</v>
      </c>
      <c r="M552" t="s">
        <v>22</v>
      </c>
      <c r="N552">
        <v>1369717200</v>
      </c>
      <c r="O552">
        <v>1370494800</v>
      </c>
      <c r="P552" s="11">
        <f>+(((Table1[[#This Row],[launched_at]]/60)/60)/24)+DATE(1970,1,1)</f>
        <v>41422.208333333336</v>
      </c>
      <c r="Q552" s="11">
        <f>+(((Table1[[#This Row],[deadline]]/60)/60)/24)+DATE(1970,1,1)</f>
        <v>41431.208333333336</v>
      </c>
      <c r="R552" t="b">
        <v>0</v>
      </c>
      <c r="S552" t="b">
        <v>0</v>
      </c>
      <c r="T552" t="s">
        <v>65</v>
      </c>
      <c r="U552" t="str">
        <f>+LEFT(Table1[[#This Row],[category &amp; sub-category]],FIND("/",Table1[[#This Row],[category &amp; sub-category]])-1)</f>
        <v>technology</v>
      </c>
      <c r="V552" t="str">
        <f>+RIGHT(Table1[[#This Row],[category &amp; sub-category]],LEN(Table1[[#This Row],[category &amp; sub-category]])-SEARCH("/",Table1[[#This Row],[category &amp; sub-category]]))</f>
        <v>wearables</v>
      </c>
    </row>
    <row r="553" spans="2:22" ht="15.75" customHeight="1" x14ac:dyDescent="0.25">
      <c r="B553">
        <v>550</v>
      </c>
      <c r="C553" t="s">
        <v>1145</v>
      </c>
      <c r="D553" s="3" t="s">
        <v>1146</v>
      </c>
      <c r="E553" s="6">
        <v>100</v>
      </c>
      <c r="F553" s="6">
        <v>4</v>
      </c>
      <c r="G553" s="17">
        <f>ROUND(Table1[[#This Row],[pledged]]/Table1[[#This Row],[goal]]*100,2)</f>
        <v>4</v>
      </c>
      <c r="H553" s="5">
        <f>+Table1[[#This Row],[pledged]]/Table1[[#This Row],[goal]]</f>
        <v>0.04</v>
      </c>
      <c r="I553" t="s">
        <v>74</v>
      </c>
      <c r="J553">
        <v>1</v>
      </c>
      <c r="K553" s="8">
        <f>IFERROR(Table1[[#This Row],[pledged]]/Table1[[#This Row],[backers_count]],"NA")</f>
        <v>4</v>
      </c>
      <c r="L553" t="s">
        <v>98</v>
      </c>
      <c r="M553" t="s">
        <v>99</v>
      </c>
      <c r="N553">
        <v>1330495200</v>
      </c>
      <c r="O553">
        <v>1332306000</v>
      </c>
      <c r="P553" s="11">
        <f>+(((Table1[[#This Row],[launched_at]]/60)/60)/24)+DATE(1970,1,1)</f>
        <v>40968.25</v>
      </c>
      <c r="Q553" s="11">
        <f>+(((Table1[[#This Row],[deadline]]/60)/60)/24)+DATE(1970,1,1)</f>
        <v>40989.208333333336</v>
      </c>
      <c r="R553" t="b">
        <v>0</v>
      </c>
      <c r="S553" t="b">
        <v>0</v>
      </c>
      <c r="T553" t="s">
        <v>60</v>
      </c>
      <c r="U553" t="str">
        <f>+LEFT(Table1[[#This Row],[category &amp; sub-category]],FIND("/",Table1[[#This Row],[category &amp; sub-category]])-1)</f>
        <v>music</v>
      </c>
      <c r="V553" t="str">
        <f>+RIGHT(Table1[[#This Row],[category &amp; sub-category]],LEN(Table1[[#This Row],[category &amp; sub-category]])-SEARCH("/",Table1[[#This Row],[category &amp; sub-category]]))</f>
        <v>indie rock</v>
      </c>
    </row>
    <row r="554" spans="2:22" ht="15.75" customHeight="1" x14ac:dyDescent="0.25">
      <c r="B554">
        <v>551</v>
      </c>
      <c r="C554" t="s">
        <v>1147</v>
      </c>
      <c r="D554" s="3" t="s">
        <v>1148</v>
      </c>
      <c r="E554" s="6">
        <v>180100</v>
      </c>
      <c r="F554" s="6">
        <v>105598</v>
      </c>
      <c r="G554" s="17">
        <f>ROUND(Table1[[#This Row],[pledged]]/Table1[[#This Row],[goal]]*100,2)</f>
        <v>58.63</v>
      </c>
      <c r="H554" s="5">
        <f>+Table1[[#This Row],[pledged]]/Table1[[#This Row],[goal]]</f>
        <v>0.58632981676846196</v>
      </c>
      <c r="I554" t="s">
        <v>14</v>
      </c>
      <c r="J554">
        <v>2779</v>
      </c>
      <c r="K554" s="8">
        <f>IFERROR(Table1[[#This Row],[pledged]]/Table1[[#This Row],[backers_count]],"NA")</f>
        <v>37.99856063332134</v>
      </c>
      <c r="L554" t="s">
        <v>26</v>
      </c>
      <c r="M554" t="s">
        <v>27</v>
      </c>
      <c r="N554">
        <v>1419055200</v>
      </c>
      <c r="O554">
        <v>1422511200</v>
      </c>
      <c r="P554" s="11">
        <f>+(((Table1[[#This Row],[launched_at]]/60)/60)/24)+DATE(1970,1,1)</f>
        <v>41993.25</v>
      </c>
      <c r="Q554" s="11">
        <f>+(((Table1[[#This Row],[deadline]]/60)/60)/24)+DATE(1970,1,1)</f>
        <v>42033.25</v>
      </c>
      <c r="R554" t="b">
        <v>0</v>
      </c>
      <c r="S554" t="b">
        <v>1</v>
      </c>
      <c r="T554" t="s">
        <v>28</v>
      </c>
      <c r="U554" t="str">
        <f>+LEFT(Table1[[#This Row],[category &amp; sub-category]],FIND("/",Table1[[#This Row],[category &amp; sub-category]])-1)</f>
        <v>technology</v>
      </c>
      <c r="V554" t="str">
        <f>+RIGHT(Table1[[#This Row],[category &amp; sub-category]],LEN(Table1[[#This Row],[category &amp; sub-category]])-SEARCH("/",Table1[[#This Row],[category &amp; sub-category]]))</f>
        <v>web</v>
      </c>
    </row>
    <row r="555" spans="2:22" ht="15.75" customHeight="1" x14ac:dyDescent="0.25">
      <c r="B555">
        <v>552</v>
      </c>
      <c r="C555" t="s">
        <v>1149</v>
      </c>
      <c r="D555" s="3" t="s">
        <v>1150</v>
      </c>
      <c r="E555" s="6">
        <v>9000</v>
      </c>
      <c r="F555" s="6">
        <v>8866</v>
      </c>
      <c r="G555" s="17">
        <f>ROUND(Table1[[#This Row],[pledged]]/Table1[[#This Row],[goal]]*100,2)</f>
        <v>98.51</v>
      </c>
      <c r="H555" s="5">
        <f>+Table1[[#This Row],[pledged]]/Table1[[#This Row],[goal]]</f>
        <v>0.98511111111111116</v>
      </c>
      <c r="I555" t="s">
        <v>14</v>
      </c>
      <c r="J555">
        <v>92</v>
      </c>
      <c r="K555" s="8">
        <f>IFERROR(Table1[[#This Row],[pledged]]/Table1[[#This Row],[backers_count]],"NA")</f>
        <v>96.369565217391298</v>
      </c>
      <c r="L555" t="s">
        <v>21</v>
      </c>
      <c r="M555" t="s">
        <v>22</v>
      </c>
      <c r="N555">
        <v>1480140000</v>
      </c>
      <c r="O555">
        <v>1480312800</v>
      </c>
      <c r="P555" s="11">
        <f>+(((Table1[[#This Row],[launched_at]]/60)/60)/24)+DATE(1970,1,1)</f>
        <v>42700.25</v>
      </c>
      <c r="Q555" s="11">
        <f>+(((Table1[[#This Row],[deadline]]/60)/60)/24)+DATE(1970,1,1)</f>
        <v>42702.25</v>
      </c>
      <c r="R555" t="b">
        <v>0</v>
      </c>
      <c r="S555" t="b">
        <v>0</v>
      </c>
      <c r="T555" t="s">
        <v>33</v>
      </c>
      <c r="U555" t="str">
        <f>+LEFT(Table1[[#This Row],[category &amp; sub-category]],FIND("/",Table1[[#This Row],[category &amp; sub-category]])-1)</f>
        <v>theater</v>
      </c>
      <c r="V555" t="str">
        <f>+RIGHT(Table1[[#This Row],[category &amp; sub-category]],LEN(Table1[[#This Row],[category &amp; sub-category]])-SEARCH("/",Table1[[#This Row],[category &amp; sub-category]]))</f>
        <v>plays</v>
      </c>
    </row>
    <row r="556" spans="2:22" ht="15.75" customHeight="1" x14ac:dyDescent="0.25">
      <c r="B556">
        <v>553</v>
      </c>
      <c r="C556" t="s">
        <v>1151</v>
      </c>
      <c r="D556" s="3" t="s">
        <v>1152</v>
      </c>
      <c r="E556" s="6">
        <v>170600</v>
      </c>
      <c r="F556" s="6">
        <v>75022</v>
      </c>
      <c r="G556" s="17">
        <f>ROUND(Table1[[#This Row],[pledged]]/Table1[[#This Row],[goal]]*100,2)</f>
        <v>43.98</v>
      </c>
      <c r="H556" s="5">
        <f>+Table1[[#This Row],[pledged]]/Table1[[#This Row],[goal]]</f>
        <v>0.43975381008206332</v>
      </c>
      <c r="I556" t="s">
        <v>14</v>
      </c>
      <c r="J556">
        <v>1028</v>
      </c>
      <c r="K556" s="8">
        <f>IFERROR(Table1[[#This Row],[pledged]]/Table1[[#This Row],[backers_count]],"NA")</f>
        <v>72.978599221789878</v>
      </c>
      <c r="L556" t="s">
        <v>21</v>
      </c>
      <c r="M556" t="s">
        <v>22</v>
      </c>
      <c r="N556">
        <v>1293948000</v>
      </c>
      <c r="O556">
        <v>1294034400</v>
      </c>
      <c r="P556" s="11">
        <f>+(((Table1[[#This Row],[launched_at]]/60)/60)/24)+DATE(1970,1,1)</f>
        <v>40545.25</v>
      </c>
      <c r="Q556" s="11">
        <f>+(((Table1[[#This Row],[deadline]]/60)/60)/24)+DATE(1970,1,1)</f>
        <v>40546.25</v>
      </c>
      <c r="R556" t="b">
        <v>0</v>
      </c>
      <c r="S556" t="b">
        <v>0</v>
      </c>
      <c r="T556" t="s">
        <v>23</v>
      </c>
      <c r="U556" t="str">
        <f>+LEFT(Table1[[#This Row],[category &amp; sub-category]],FIND("/",Table1[[#This Row],[category &amp; sub-category]])-1)</f>
        <v>music</v>
      </c>
      <c r="V556" t="str">
        <f>+RIGHT(Table1[[#This Row],[category &amp; sub-category]],LEN(Table1[[#This Row],[category &amp; sub-category]])-SEARCH("/",Table1[[#This Row],[category &amp; sub-category]]))</f>
        <v>rock</v>
      </c>
    </row>
    <row r="557" spans="2:22" ht="15.75" customHeight="1" x14ac:dyDescent="0.25">
      <c r="B557">
        <v>554</v>
      </c>
      <c r="C557" t="s">
        <v>1153</v>
      </c>
      <c r="D557" s="3" t="s">
        <v>1154</v>
      </c>
      <c r="E557" s="6">
        <v>9500</v>
      </c>
      <c r="F557" s="6">
        <v>14408</v>
      </c>
      <c r="G557" s="17">
        <f>ROUND(Table1[[#This Row],[pledged]]/Table1[[#This Row],[goal]]*100,2)</f>
        <v>151.66</v>
      </c>
      <c r="H557" s="5">
        <f>+Table1[[#This Row],[pledged]]/Table1[[#This Row],[goal]]</f>
        <v>1.5166315789473683</v>
      </c>
      <c r="I557" t="s">
        <v>20</v>
      </c>
      <c r="J557">
        <v>554</v>
      </c>
      <c r="K557" s="8">
        <f>IFERROR(Table1[[#This Row],[pledged]]/Table1[[#This Row],[backers_count]],"NA")</f>
        <v>26.007220216606498</v>
      </c>
      <c r="L557" t="s">
        <v>15</v>
      </c>
      <c r="M557" t="s">
        <v>16</v>
      </c>
      <c r="N557">
        <v>1482127200</v>
      </c>
      <c r="O557">
        <v>1482645600</v>
      </c>
      <c r="P557" s="11">
        <f>+(((Table1[[#This Row],[launched_at]]/60)/60)/24)+DATE(1970,1,1)</f>
        <v>42723.25</v>
      </c>
      <c r="Q557" s="11">
        <f>+(((Table1[[#This Row],[deadline]]/60)/60)/24)+DATE(1970,1,1)</f>
        <v>42729.25</v>
      </c>
      <c r="R557" t="b">
        <v>0</v>
      </c>
      <c r="S557" t="b">
        <v>0</v>
      </c>
      <c r="T557" t="s">
        <v>60</v>
      </c>
      <c r="U557" t="str">
        <f>+LEFT(Table1[[#This Row],[category &amp; sub-category]],FIND("/",Table1[[#This Row],[category &amp; sub-category]])-1)</f>
        <v>music</v>
      </c>
      <c r="V557" t="str">
        <f>+RIGHT(Table1[[#This Row],[category &amp; sub-category]],LEN(Table1[[#This Row],[category &amp; sub-category]])-SEARCH("/",Table1[[#This Row],[category &amp; sub-category]]))</f>
        <v>indie rock</v>
      </c>
    </row>
    <row r="558" spans="2:22" ht="15.75" customHeight="1" x14ac:dyDescent="0.25">
      <c r="B558">
        <v>555</v>
      </c>
      <c r="C558" t="s">
        <v>1155</v>
      </c>
      <c r="D558" s="3" t="s">
        <v>1156</v>
      </c>
      <c r="E558" s="6">
        <v>6300</v>
      </c>
      <c r="F558" s="6">
        <v>14089</v>
      </c>
      <c r="G558" s="17">
        <f>ROUND(Table1[[#This Row],[pledged]]/Table1[[#This Row],[goal]]*100,2)</f>
        <v>223.63</v>
      </c>
      <c r="H558" s="5">
        <f>+Table1[[#This Row],[pledged]]/Table1[[#This Row],[goal]]</f>
        <v>2.2363492063492063</v>
      </c>
      <c r="I558" t="s">
        <v>20</v>
      </c>
      <c r="J558">
        <v>135</v>
      </c>
      <c r="K558" s="8">
        <f>IFERROR(Table1[[#This Row],[pledged]]/Table1[[#This Row],[backers_count]],"NA")</f>
        <v>104.36296296296297</v>
      </c>
      <c r="L558" t="s">
        <v>36</v>
      </c>
      <c r="M558" t="s">
        <v>37</v>
      </c>
      <c r="N558">
        <v>1396414800</v>
      </c>
      <c r="O558">
        <v>1399093200</v>
      </c>
      <c r="P558" s="11">
        <f>+(((Table1[[#This Row],[launched_at]]/60)/60)/24)+DATE(1970,1,1)</f>
        <v>41731.208333333336</v>
      </c>
      <c r="Q558" s="11">
        <f>+(((Table1[[#This Row],[deadline]]/60)/60)/24)+DATE(1970,1,1)</f>
        <v>41762.208333333336</v>
      </c>
      <c r="R558" t="b">
        <v>0</v>
      </c>
      <c r="S558" t="b">
        <v>0</v>
      </c>
      <c r="T558" t="s">
        <v>23</v>
      </c>
      <c r="U558" t="str">
        <f>+LEFT(Table1[[#This Row],[category &amp; sub-category]],FIND("/",Table1[[#This Row],[category &amp; sub-category]])-1)</f>
        <v>music</v>
      </c>
      <c r="V558" t="str">
        <f>+RIGHT(Table1[[#This Row],[category &amp; sub-category]],LEN(Table1[[#This Row],[category &amp; sub-category]])-SEARCH("/",Table1[[#This Row],[category &amp; sub-category]]))</f>
        <v>rock</v>
      </c>
    </row>
    <row r="559" spans="2:22" ht="15.75" customHeight="1" x14ac:dyDescent="0.25">
      <c r="B559">
        <v>556</v>
      </c>
      <c r="C559" t="s">
        <v>442</v>
      </c>
      <c r="D559" s="3" t="s">
        <v>1157</v>
      </c>
      <c r="E559" s="6">
        <v>5200</v>
      </c>
      <c r="F559" s="6">
        <v>12467</v>
      </c>
      <c r="G559" s="17">
        <f>ROUND(Table1[[#This Row],[pledged]]/Table1[[#This Row],[goal]]*100,2)</f>
        <v>239.75</v>
      </c>
      <c r="H559" s="5">
        <f>+Table1[[#This Row],[pledged]]/Table1[[#This Row],[goal]]</f>
        <v>2.3975</v>
      </c>
      <c r="I559" t="s">
        <v>20</v>
      </c>
      <c r="J559">
        <v>122</v>
      </c>
      <c r="K559" s="8">
        <f>IFERROR(Table1[[#This Row],[pledged]]/Table1[[#This Row],[backers_count]],"NA")</f>
        <v>102.18852459016394</v>
      </c>
      <c r="L559" t="s">
        <v>21</v>
      </c>
      <c r="M559" t="s">
        <v>22</v>
      </c>
      <c r="N559">
        <v>1315285200</v>
      </c>
      <c r="O559">
        <v>1315890000</v>
      </c>
      <c r="P559" s="11">
        <f>+(((Table1[[#This Row],[launched_at]]/60)/60)/24)+DATE(1970,1,1)</f>
        <v>40792.208333333336</v>
      </c>
      <c r="Q559" s="11">
        <f>+(((Table1[[#This Row],[deadline]]/60)/60)/24)+DATE(1970,1,1)</f>
        <v>40799.208333333336</v>
      </c>
      <c r="R559" t="b">
        <v>0</v>
      </c>
      <c r="S559" t="b">
        <v>1</v>
      </c>
      <c r="T559" t="s">
        <v>206</v>
      </c>
      <c r="U559" t="str">
        <f>+LEFT(Table1[[#This Row],[category &amp; sub-category]],FIND("/",Table1[[#This Row],[category &amp; sub-category]])-1)</f>
        <v>publishing</v>
      </c>
      <c r="V559" t="str">
        <f>+RIGHT(Table1[[#This Row],[category &amp; sub-category]],LEN(Table1[[#This Row],[category &amp; sub-category]])-SEARCH("/",Table1[[#This Row],[category &amp; sub-category]]))</f>
        <v>translations</v>
      </c>
    </row>
    <row r="560" spans="2:22" ht="15.75" customHeight="1" x14ac:dyDescent="0.25">
      <c r="B560">
        <v>557</v>
      </c>
      <c r="C560" t="s">
        <v>1158</v>
      </c>
      <c r="D560" s="3" t="s">
        <v>1159</v>
      </c>
      <c r="E560" s="6">
        <v>6000</v>
      </c>
      <c r="F560" s="6">
        <v>11960</v>
      </c>
      <c r="G560" s="17">
        <f>ROUND(Table1[[#This Row],[pledged]]/Table1[[#This Row],[goal]]*100,2)</f>
        <v>199.33</v>
      </c>
      <c r="H560" s="5">
        <f>+Table1[[#This Row],[pledged]]/Table1[[#This Row],[goal]]</f>
        <v>1.9933333333333334</v>
      </c>
      <c r="I560" t="s">
        <v>20</v>
      </c>
      <c r="J560">
        <v>221</v>
      </c>
      <c r="K560" s="8">
        <f>IFERROR(Table1[[#This Row],[pledged]]/Table1[[#This Row],[backers_count]],"NA")</f>
        <v>54.117647058823529</v>
      </c>
      <c r="L560" t="s">
        <v>21</v>
      </c>
      <c r="M560" t="s">
        <v>22</v>
      </c>
      <c r="N560">
        <v>1443762000</v>
      </c>
      <c r="O560">
        <v>1444021200</v>
      </c>
      <c r="P560" s="11">
        <f>+(((Table1[[#This Row],[launched_at]]/60)/60)/24)+DATE(1970,1,1)</f>
        <v>42279.208333333328</v>
      </c>
      <c r="Q560" s="11">
        <f>+(((Table1[[#This Row],[deadline]]/60)/60)/24)+DATE(1970,1,1)</f>
        <v>42282.208333333328</v>
      </c>
      <c r="R560" t="b">
        <v>0</v>
      </c>
      <c r="S560" t="b">
        <v>1</v>
      </c>
      <c r="T560" t="s">
        <v>474</v>
      </c>
      <c r="U560" t="str">
        <f>+LEFT(Table1[[#This Row],[category &amp; sub-category]],FIND("/",Table1[[#This Row],[category &amp; sub-category]])-1)</f>
        <v>film &amp; video</v>
      </c>
      <c r="V560" t="str">
        <f>+RIGHT(Table1[[#This Row],[category &amp; sub-category]],LEN(Table1[[#This Row],[category &amp; sub-category]])-SEARCH("/",Table1[[#This Row],[category &amp; sub-category]]))</f>
        <v>science fiction</v>
      </c>
    </row>
    <row r="561" spans="2:22" ht="15.75" customHeight="1" x14ac:dyDescent="0.25">
      <c r="B561">
        <v>558</v>
      </c>
      <c r="C561" t="s">
        <v>1160</v>
      </c>
      <c r="D561" s="3" t="s">
        <v>1161</v>
      </c>
      <c r="E561" s="6">
        <v>5800</v>
      </c>
      <c r="F561" s="6">
        <v>7966</v>
      </c>
      <c r="G561" s="17">
        <f>ROUND(Table1[[#This Row],[pledged]]/Table1[[#This Row],[goal]]*100,2)</f>
        <v>137.34</v>
      </c>
      <c r="H561" s="5">
        <f>+Table1[[#This Row],[pledged]]/Table1[[#This Row],[goal]]</f>
        <v>1.373448275862069</v>
      </c>
      <c r="I561" t="s">
        <v>20</v>
      </c>
      <c r="J561">
        <v>126</v>
      </c>
      <c r="K561" s="8">
        <f>IFERROR(Table1[[#This Row],[pledged]]/Table1[[#This Row],[backers_count]],"NA")</f>
        <v>63.222222222222221</v>
      </c>
      <c r="L561" t="s">
        <v>21</v>
      </c>
      <c r="M561" t="s">
        <v>22</v>
      </c>
      <c r="N561">
        <v>1456293600</v>
      </c>
      <c r="O561">
        <v>1460005200</v>
      </c>
      <c r="P561" s="11">
        <f>+(((Table1[[#This Row],[launched_at]]/60)/60)/24)+DATE(1970,1,1)</f>
        <v>42424.25</v>
      </c>
      <c r="Q561" s="11">
        <f>+(((Table1[[#This Row],[deadline]]/60)/60)/24)+DATE(1970,1,1)</f>
        <v>42467.208333333328</v>
      </c>
      <c r="R561" t="b">
        <v>0</v>
      </c>
      <c r="S561" t="b">
        <v>0</v>
      </c>
      <c r="T561" t="s">
        <v>33</v>
      </c>
      <c r="U561" t="str">
        <f>+LEFT(Table1[[#This Row],[category &amp; sub-category]],FIND("/",Table1[[#This Row],[category &amp; sub-category]])-1)</f>
        <v>theater</v>
      </c>
      <c r="V561" t="str">
        <f>+RIGHT(Table1[[#This Row],[category &amp; sub-category]],LEN(Table1[[#This Row],[category &amp; sub-category]])-SEARCH("/",Table1[[#This Row],[category &amp; sub-category]]))</f>
        <v>plays</v>
      </c>
    </row>
    <row r="562" spans="2:22" ht="15.75" customHeight="1" x14ac:dyDescent="0.25">
      <c r="B562">
        <v>559</v>
      </c>
      <c r="C562" t="s">
        <v>1162</v>
      </c>
      <c r="D562" s="3" t="s">
        <v>1163</v>
      </c>
      <c r="E562" s="6">
        <v>105300</v>
      </c>
      <c r="F562" s="6">
        <v>106321</v>
      </c>
      <c r="G562" s="17">
        <f>ROUND(Table1[[#This Row],[pledged]]/Table1[[#This Row],[goal]]*100,2)</f>
        <v>100.97</v>
      </c>
      <c r="H562" s="5">
        <f>+Table1[[#This Row],[pledged]]/Table1[[#This Row],[goal]]</f>
        <v>1.009696106362773</v>
      </c>
      <c r="I562" t="s">
        <v>20</v>
      </c>
      <c r="J562">
        <v>1022</v>
      </c>
      <c r="K562" s="8">
        <f>IFERROR(Table1[[#This Row],[pledged]]/Table1[[#This Row],[backers_count]],"NA")</f>
        <v>104.03228962818004</v>
      </c>
      <c r="L562" t="s">
        <v>21</v>
      </c>
      <c r="M562" t="s">
        <v>22</v>
      </c>
      <c r="N562">
        <v>1470114000</v>
      </c>
      <c r="O562">
        <v>1470718800</v>
      </c>
      <c r="P562" s="11">
        <f>+(((Table1[[#This Row],[launched_at]]/60)/60)/24)+DATE(1970,1,1)</f>
        <v>42584.208333333328</v>
      </c>
      <c r="Q562" s="11">
        <f>+(((Table1[[#This Row],[deadline]]/60)/60)/24)+DATE(1970,1,1)</f>
        <v>42591.208333333328</v>
      </c>
      <c r="R562" t="b">
        <v>0</v>
      </c>
      <c r="S562" t="b">
        <v>0</v>
      </c>
      <c r="T562" t="s">
        <v>33</v>
      </c>
      <c r="U562" t="str">
        <f>+LEFT(Table1[[#This Row],[category &amp; sub-category]],FIND("/",Table1[[#This Row],[category &amp; sub-category]])-1)</f>
        <v>theater</v>
      </c>
      <c r="V562" t="str">
        <f>+RIGHT(Table1[[#This Row],[category &amp; sub-category]],LEN(Table1[[#This Row],[category &amp; sub-category]])-SEARCH("/",Table1[[#This Row],[category &amp; sub-category]]))</f>
        <v>plays</v>
      </c>
    </row>
    <row r="563" spans="2:22" ht="15.75" customHeight="1" x14ac:dyDescent="0.25">
      <c r="B563">
        <v>560</v>
      </c>
      <c r="C563" t="s">
        <v>1164</v>
      </c>
      <c r="D563" s="3" t="s">
        <v>1165</v>
      </c>
      <c r="E563" s="6">
        <v>20000</v>
      </c>
      <c r="F563" s="6">
        <v>158832</v>
      </c>
      <c r="G563" s="17">
        <f>ROUND(Table1[[#This Row],[pledged]]/Table1[[#This Row],[goal]]*100,2)</f>
        <v>794.16</v>
      </c>
      <c r="H563" s="5">
        <f>+Table1[[#This Row],[pledged]]/Table1[[#This Row],[goal]]</f>
        <v>7.9416000000000002</v>
      </c>
      <c r="I563" t="s">
        <v>20</v>
      </c>
      <c r="J563">
        <v>3177</v>
      </c>
      <c r="K563" s="8">
        <f>IFERROR(Table1[[#This Row],[pledged]]/Table1[[#This Row],[backers_count]],"NA")</f>
        <v>49.994334277620396</v>
      </c>
      <c r="L563" t="s">
        <v>21</v>
      </c>
      <c r="M563" t="s">
        <v>22</v>
      </c>
      <c r="N563">
        <v>1321596000</v>
      </c>
      <c r="O563">
        <v>1325052000</v>
      </c>
      <c r="P563" s="11">
        <f>+(((Table1[[#This Row],[launched_at]]/60)/60)/24)+DATE(1970,1,1)</f>
        <v>40865.25</v>
      </c>
      <c r="Q563" s="11">
        <f>+(((Table1[[#This Row],[deadline]]/60)/60)/24)+DATE(1970,1,1)</f>
        <v>40905.25</v>
      </c>
      <c r="R563" t="b">
        <v>0</v>
      </c>
      <c r="S563" t="b">
        <v>0</v>
      </c>
      <c r="T563" t="s">
        <v>71</v>
      </c>
      <c r="U563" t="str">
        <f>+LEFT(Table1[[#This Row],[category &amp; sub-category]],FIND("/",Table1[[#This Row],[category &amp; sub-category]])-1)</f>
        <v>film &amp; video</v>
      </c>
      <c r="V563" t="str">
        <f>+RIGHT(Table1[[#This Row],[category &amp; sub-category]],LEN(Table1[[#This Row],[category &amp; sub-category]])-SEARCH("/",Table1[[#This Row],[category &amp; sub-category]]))</f>
        <v>animation</v>
      </c>
    </row>
    <row r="564" spans="2:22" ht="15.75" customHeight="1" x14ac:dyDescent="0.25">
      <c r="B564">
        <v>561</v>
      </c>
      <c r="C564" t="s">
        <v>1166</v>
      </c>
      <c r="D564" s="3" t="s">
        <v>1167</v>
      </c>
      <c r="E564" s="6">
        <v>3000</v>
      </c>
      <c r="F564" s="6">
        <v>11091</v>
      </c>
      <c r="G564" s="17">
        <f>ROUND(Table1[[#This Row],[pledged]]/Table1[[#This Row],[goal]]*100,2)</f>
        <v>369.7</v>
      </c>
      <c r="H564" s="5">
        <f>+Table1[[#This Row],[pledged]]/Table1[[#This Row],[goal]]</f>
        <v>3.6970000000000001</v>
      </c>
      <c r="I564" t="s">
        <v>20</v>
      </c>
      <c r="J564">
        <v>198</v>
      </c>
      <c r="K564" s="8">
        <f>IFERROR(Table1[[#This Row],[pledged]]/Table1[[#This Row],[backers_count]],"NA")</f>
        <v>56.015151515151516</v>
      </c>
      <c r="L564" t="s">
        <v>98</v>
      </c>
      <c r="M564" t="s">
        <v>99</v>
      </c>
      <c r="N564">
        <v>1318827600</v>
      </c>
      <c r="O564">
        <v>1319000400</v>
      </c>
      <c r="P564" s="11">
        <f>+(((Table1[[#This Row],[launched_at]]/60)/60)/24)+DATE(1970,1,1)</f>
        <v>40833.208333333336</v>
      </c>
      <c r="Q564" s="11">
        <f>+(((Table1[[#This Row],[deadline]]/60)/60)/24)+DATE(1970,1,1)</f>
        <v>40835.208333333336</v>
      </c>
      <c r="R564" t="b">
        <v>0</v>
      </c>
      <c r="S564" t="b">
        <v>0</v>
      </c>
      <c r="T564" t="s">
        <v>33</v>
      </c>
      <c r="U564" t="str">
        <f>+LEFT(Table1[[#This Row],[category &amp; sub-category]],FIND("/",Table1[[#This Row],[category &amp; sub-category]])-1)</f>
        <v>theater</v>
      </c>
      <c r="V564" t="str">
        <f>+RIGHT(Table1[[#This Row],[category &amp; sub-category]],LEN(Table1[[#This Row],[category &amp; sub-category]])-SEARCH("/",Table1[[#This Row],[category &amp; sub-category]]))</f>
        <v>plays</v>
      </c>
    </row>
    <row r="565" spans="2:22" ht="15.75" customHeight="1" x14ac:dyDescent="0.25">
      <c r="B565">
        <v>562</v>
      </c>
      <c r="C565" t="s">
        <v>1168</v>
      </c>
      <c r="D565" s="3" t="s">
        <v>1169</v>
      </c>
      <c r="E565" s="6">
        <v>9900</v>
      </c>
      <c r="F565" s="6">
        <v>1269</v>
      </c>
      <c r="G565" s="17">
        <f>ROUND(Table1[[#This Row],[pledged]]/Table1[[#This Row],[goal]]*100,2)</f>
        <v>12.82</v>
      </c>
      <c r="H565" s="5">
        <f>+Table1[[#This Row],[pledged]]/Table1[[#This Row],[goal]]</f>
        <v>0.12818181818181817</v>
      </c>
      <c r="I565" t="s">
        <v>14</v>
      </c>
      <c r="J565">
        <v>26</v>
      </c>
      <c r="K565" s="8">
        <f>IFERROR(Table1[[#This Row],[pledged]]/Table1[[#This Row],[backers_count]],"NA")</f>
        <v>48.807692307692307</v>
      </c>
      <c r="L565" t="s">
        <v>98</v>
      </c>
      <c r="M565" t="s">
        <v>99</v>
      </c>
      <c r="N565">
        <v>1552366800</v>
      </c>
      <c r="O565">
        <v>1552539600</v>
      </c>
      <c r="P565" s="11">
        <f>+(((Table1[[#This Row],[launched_at]]/60)/60)/24)+DATE(1970,1,1)</f>
        <v>43536.208333333328</v>
      </c>
      <c r="Q565" s="11">
        <f>+(((Table1[[#This Row],[deadline]]/60)/60)/24)+DATE(1970,1,1)</f>
        <v>43538.208333333328</v>
      </c>
      <c r="R565" t="b">
        <v>0</v>
      </c>
      <c r="S565" t="b">
        <v>0</v>
      </c>
      <c r="T565" t="s">
        <v>23</v>
      </c>
      <c r="U565" t="str">
        <f>+LEFT(Table1[[#This Row],[category &amp; sub-category]],FIND("/",Table1[[#This Row],[category &amp; sub-category]])-1)</f>
        <v>music</v>
      </c>
      <c r="V565" t="str">
        <f>+RIGHT(Table1[[#This Row],[category &amp; sub-category]],LEN(Table1[[#This Row],[category &amp; sub-category]])-SEARCH("/",Table1[[#This Row],[category &amp; sub-category]]))</f>
        <v>rock</v>
      </c>
    </row>
    <row r="566" spans="2:22" ht="15.75" customHeight="1" x14ac:dyDescent="0.25">
      <c r="B566">
        <v>563</v>
      </c>
      <c r="C566" t="s">
        <v>1170</v>
      </c>
      <c r="D566" s="3" t="s">
        <v>1171</v>
      </c>
      <c r="E566" s="6">
        <v>3700</v>
      </c>
      <c r="F566" s="6">
        <v>5107</v>
      </c>
      <c r="G566" s="17">
        <f>ROUND(Table1[[#This Row],[pledged]]/Table1[[#This Row],[goal]]*100,2)</f>
        <v>138.03</v>
      </c>
      <c r="H566" s="5">
        <f>+Table1[[#This Row],[pledged]]/Table1[[#This Row],[goal]]</f>
        <v>1.3802702702702703</v>
      </c>
      <c r="I566" t="s">
        <v>20</v>
      </c>
      <c r="J566">
        <v>85</v>
      </c>
      <c r="K566" s="8">
        <f>IFERROR(Table1[[#This Row],[pledged]]/Table1[[#This Row],[backers_count]],"NA")</f>
        <v>60.082352941176474</v>
      </c>
      <c r="L566" t="s">
        <v>26</v>
      </c>
      <c r="M566" t="s">
        <v>27</v>
      </c>
      <c r="N566">
        <v>1542088800</v>
      </c>
      <c r="O566">
        <v>1543816800</v>
      </c>
      <c r="P566" s="11">
        <f>+(((Table1[[#This Row],[launched_at]]/60)/60)/24)+DATE(1970,1,1)</f>
        <v>43417.25</v>
      </c>
      <c r="Q566" s="11">
        <f>+(((Table1[[#This Row],[deadline]]/60)/60)/24)+DATE(1970,1,1)</f>
        <v>43437.25</v>
      </c>
      <c r="R566" t="b">
        <v>0</v>
      </c>
      <c r="S566" t="b">
        <v>0</v>
      </c>
      <c r="T566" t="s">
        <v>42</v>
      </c>
      <c r="U566" t="str">
        <f>+LEFT(Table1[[#This Row],[category &amp; sub-category]],FIND("/",Table1[[#This Row],[category &amp; sub-category]])-1)</f>
        <v>film &amp; video</v>
      </c>
      <c r="V566" t="str">
        <f>+RIGHT(Table1[[#This Row],[category &amp; sub-category]],LEN(Table1[[#This Row],[category &amp; sub-category]])-SEARCH("/",Table1[[#This Row],[category &amp; sub-category]]))</f>
        <v>documentary</v>
      </c>
    </row>
    <row r="567" spans="2:22" ht="15.75" customHeight="1" x14ac:dyDescent="0.25">
      <c r="B567">
        <v>564</v>
      </c>
      <c r="C567" t="s">
        <v>1172</v>
      </c>
      <c r="D567" s="3" t="s">
        <v>1173</v>
      </c>
      <c r="E567" s="6">
        <v>168700</v>
      </c>
      <c r="F567" s="6">
        <v>141393</v>
      </c>
      <c r="G567" s="17">
        <f>ROUND(Table1[[#This Row],[pledged]]/Table1[[#This Row],[goal]]*100,2)</f>
        <v>83.81</v>
      </c>
      <c r="H567" s="5">
        <f>+Table1[[#This Row],[pledged]]/Table1[[#This Row],[goal]]</f>
        <v>0.83813278008298753</v>
      </c>
      <c r="I567" t="s">
        <v>14</v>
      </c>
      <c r="J567">
        <v>1790</v>
      </c>
      <c r="K567" s="8">
        <f>IFERROR(Table1[[#This Row],[pledged]]/Table1[[#This Row],[backers_count]],"NA")</f>
        <v>78.990502793296088</v>
      </c>
      <c r="L567" t="s">
        <v>21</v>
      </c>
      <c r="M567" t="s">
        <v>22</v>
      </c>
      <c r="N567">
        <v>1426395600</v>
      </c>
      <c r="O567">
        <v>1427086800</v>
      </c>
      <c r="P567" s="11">
        <f>+(((Table1[[#This Row],[launched_at]]/60)/60)/24)+DATE(1970,1,1)</f>
        <v>42078.208333333328</v>
      </c>
      <c r="Q567" s="11">
        <f>+(((Table1[[#This Row],[deadline]]/60)/60)/24)+DATE(1970,1,1)</f>
        <v>42086.208333333328</v>
      </c>
      <c r="R567" t="b">
        <v>0</v>
      </c>
      <c r="S567" t="b">
        <v>0</v>
      </c>
      <c r="T567" t="s">
        <v>33</v>
      </c>
      <c r="U567" t="str">
        <f>+LEFT(Table1[[#This Row],[category &amp; sub-category]],FIND("/",Table1[[#This Row],[category &amp; sub-category]])-1)</f>
        <v>theater</v>
      </c>
      <c r="V567" t="str">
        <f>+RIGHT(Table1[[#This Row],[category &amp; sub-category]],LEN(Table1[[#This Row],[category &amp; sub-category]])-SEARCH("/",Table1[[#This Row],[category &amp; sub-category]]))</f>
        <v>plays</v>
      </c>
    </row>
    <row r="568" spans="2:22" ht="15.75" customHeight="1" x14ac:dyDescent="0.25">
      <c r="B568">
        <v>565</v>
      </c>
      <c r="C568" t="s">
        <v>1174</v>
      </c>
      <c r="D568" s="3" t="s">
        <v>1175</v>
      </c>
      <c r="E568" s="6">
        <v>94900</v>
      </c>
      <c r="F568" s="6">
        <v>194166</v>
      </c>
      <c r="G568" s="17">
        <f>ROUND(Table1[[#This Row],[pledged]]/Table1[[#This Row],[goal]]*100,2)</f>
        <v>204.6</v>
      </c>
      <c r="H568" s="5">
        <f>+Table1[[#This Row],[pledged]]/Table1[[#This Row],[goal]]</f>
        <v>2.0460063224446787</v>
      </c>
      <c r="I568" t="s">
        <v>20</v>
      </c>
      <c r="J568">
        <v>3596</v>
      </c>
      <c r="K568" s="8">
        <f>IFERROR(Table1[[#This Row],[pledged]]/Table1[[#This Row],[backers_count]],"NA")</f>
        <v>53.99499443826474</v>
      </c>
      <c r="L568" t="s">
        <v>21</v>
      </c>
      <c r="M568" t="s">
        <v>22</v>
      </c>
      <c r="N568">
        <v>1321336800</v>
      </c>
      <c r="O568">
        <v>1323064800</v>
      </c>
      <c r="P568" s="11">
        <f>+(((Table1[[#This Row],[launched_at]]/60)/60)/24)+DATE(1970,1,1)</f>
        <v>40862.25</v>
      </c>
      <c r="Q568" s="11">
        <f>+(((Table1[[#This Row],[deadline]]/60)/60)/24)+DATE(1970,1,1)</f>
        <v>40882.25</v>
      </c>
      <c r="R568" t="b">
        <v>0</v>
      </c>
      <c r="S568" t="b">
        <v>0</v>
      </c>
      <c r="T568" t="s">
        <v>33</v>
      </c>
      <c r="U568" t="str">
        <f>+LEFT(Table1[[#This Row],[category &amp; sub-category]],FIND("/",Table1[[#This Row],[category &amp; sub-category]])-1)</f>
        <v>theater</v>
      </c>
      <c r="V568" t="str">
        <f>+RIGHT(Table1[[#This Row],[category &amp; sub-category]],LEN(Table1[[#This Row],[category &amp; sub-category]])-SEARCH("/",Table1[[#This Row],[category &amp; sub-category]]))</f>
        <v>plays</v>
      </c>
    </row>
    <row r="569" spans="2:22" ht="15.75" customHeight="1" x14ac:dyDescent="0.25">
      <c r="B569">
        <v>566</v>
      </c>
      <c r="C569" t="s">
        <v>1176</v>
      </c>
      <c r="D569" s="3" t="s">
        <v>1177</v>
      </c>
      <c r="E569" s="6">
        <v>9300</v>
      </c>
      <c r="F569" s="6">
        <v>4124</v>
      </c>
      <c r="G569" s="17">
        <f>ROUND(Table1[[#This Row],[pledged]]/Table1[[#This Row],[goal]]*100,2)</f>
        <v>44.34</v>
      </c>
      <c r="H569" s="5">
        <f>+Table1[[#This Row],[pledged]]/Table1[[#This Row],[goal]]</f>
        <v>0.44344086021505374</v>
      </c>
      <c r="I569" t="s">
        <v>14</v>
      </c>
      <c r="J569">
        <v>37</v>
      </c>
      <c r="K569" s="8">
        <f>IFERROR(Table1[[#This Row],[pledged]]/Table1[[#This Row],[backers_count]],"NA")</f>
        <v>111.45945945945945</v>
      </c>
      <c r="L569" t="s">
        <v>21</v>
      </c>
      <c r="M569" t="s">
        <v>22</v>
      </c>
      <c r="N569">
        <v>1456293600</v>
      </c>
      <c r="O569">
        <v>1458277200</v>
      </c>
      <c r="P569" s="11">
        <f>+(((Table1[[#This Row],[launched_at]]/60)/60)/24)+DATE(1970,1,1)</f>
        <v>42424.25</v>
      </c>
      <c r="Q569" s="11">
        <f>+(((Table1[[#This Row],[deadline]]/60)/60)/24)+DATE(1970,1,1)</f>
        <v>42447.208333333328</v>
      </c>
      <c r="R569" t="b">
        <v>0</v>
      </c>
      <c r="S569" t="b">
        <v>1</v>
      </c>
      <c r="T569" t="s">
        <v>50</v>
      </c>
      <c r="U569" t="str">
        <f>+LEFT(Table1[[#This Row],[category &amp; sub-category]],FIND("/",Table1[[#This Row],[category &amp; sub-category]])-1)</f>
        <v>music</v>
      </c>
      <c r="V569" t="str">
        <f>+RIGHT(Table1[[#This Row],[category &amp; sub-category]],LEN(Table1[[#This Row],[category &amp; sub-category]])-SEARCH("/",Table1[[#This Row],[category &amp; sub-category]]))</f>
        <v>electric music</v>
      </c>
    </row>
    <row r="570" spans="2:22" ht="15.75" customHeight="1" x14ac:dyDescent="0.25">
      <c r="B570">
        <v>567</v>
      </c>
      <c r="C570" t="s">
        <v>1178</v>
      </c>
      <c r="D570" s="3" t="s">
        <v>1179</v>
      </c>
      <c r="E570" s="6">
        <v>6800</v>
      </c>
      <c r="F570" s="6">
        <v>14865</v>
      </c>
      <c r="G570" s="17">
        <f>ROUND(Table1[[#This Row],[pledged]]/Table1[[#This Row],[goal]]*100,2)</f>
        <v>218.6</v>
      </c>
      <c r="H570" s="5">
        <f>+Table1[[#This Row],[pledged]]/Table1[[#This Row],[goal]]</f>
        <v>2.1860294117647059</v>
      </c>
      <c r="I570" t="s">
        <v>20</v>
      </c>
      <c r="J570">
        <v>244</v>
      </c>
      <c r="K570" s="8">
        <f>IFERROR(Table1[[#This Row],[pledged]]/Table1[[#This Row],[backers_count]],"NA")</f>
        <v>60.922131147540981</v>
      </c>
      <c r="L570" t="s">
        <v>21</v>
      </c>
      <c r="M570" t="s">
        <v>22</v>
      </c>
      <c r="N570">
        <v>1404968400</v>
      </c>
      <c r="O570">
        <v>1405141200</v>
      </c>
      <c r="P570" s="11">
        <f>+(((Table1[[#This Row],[launched_at]]/60)/60)/24)+DATE(1970,1,1)</f>
        <v>41830.208333333336</v>
      </c>
      <c r="Q570" s="11">
        <f>+(((Table1[[#This Row],[deadline]]/60)/60)/24)+DATE(1970,1,1)</f>
        <v>41832.208333333336</v>
      </c>
      <c r="R570" t="b">
        <v>0</v>
      </c>
      <c r="S570" t="b">
        <v>0</v>
      </c>
      <c r="T570" t="s">
        <v>23</v>
      </c>
      <c r="U570" t="str">
        <f>+LEFT(Table1[[#This Row],[category &amp; sub-category]],FIND("/",Table1[[#This Row],[category &amp; sub-category]])-1)</f>
        <v>music</v>
      </c>
      <c r="V570" t="str">
        <f>+RIGHT(Table1[[#This Row],[category &amp; sub-category]],LEN(Table1[[#This Row],[category &amp; sub-category]])-SEARCH("/",Table1[[#This Row],[category &amp; sub-category]]))</f>
        <v>rock</v>
      </c>
    </row>
    <row r="571" spans="2:22" ht="15.75" customHeight="1" x14ac:dyDescent="0.25">
      <c r="B571">
        <v>568</v>
      </c>
      <c r="C571" t="s">
        <v>1180</v>
      </c>
      <c r="D571" s="3" t="s">
        <v>1181</v>
      </c>
      <c r="E571" s="6">
        <v>72400</v>
      </c>
      <c r="F571" s="6">
        <v>134688</v>
      </c>
      <c r="G571" s="17">
        <f>ROUND(Table1[[#This Row],[pledged]]/Table1[[#This Row],[goal]]*100,2)</f>
        <v>186.03</v>
      </c>
      <c r="H571" s="5">
        <f>+Table1[[#This Row],[pledged]]/Table1[[#This Row],[goal]]</f>
        <v>1.8603314917127072</v>
      </c>
      <c r="I571" t="s">
        <v>20</v>
      </c>
      <c r="J571">
        <v>5180</v>
      </c>
      <c r="K571" s="8">
        <f>IFERROR(Table1[[#This Row],[pledged]]/Table1[[#This Row],[backers_count]],"NA")</f>
        <v>26.0015444015444</v>
      </c>
      <c r="L571" t="s">
        <v>21</v>
      </c>
      <c r="M571" t="s">
        <v>22</v>
      </c>
      <c r="N571">
        <v>1279170000</v>
      </c>
      <c r="O571">
        <v>1283058000</v>
      </c>
      <c r="P571" s="11">
        <f>+(((Table1[[#This Row],[launched_at]]/60)/60)/24)+DATE(1970,1,1)</f>
        <v>40374.208333333336</v>
      </c>
      <c r="Q571" s="11">
        <f>+(((Table1[[#This Row],[deadline]]/60)/60)/24)+DATE(1970,1,1)</f>
        <v>40419.208333333336</v>
      </c>
      <c r="R571" t="b">
        <v>0</v>
      </c>
      <c r="S571" t="b">
        <v>0</v>
      </c>
      <c r="T571" t="s">
        <v>33</v>
      </c>
      <c r="U571" t="str">
        <f>+LEFT(Table1[[#This Row],[category &amp; sub-category]],FIND("/",Table1[[#This Row],[category &amp; sub-category]])-1)</f>
        <v>theater</v>
      </c>
      <c r="V571" t="str">
        <f>+RIGHT(Table1[[#This Row],[category &amp; sub-category]],LEN(Table1[[#This Row],[category &amp; sub-category]])-SEARCH("/",Table1[[#This Row],[category &amp; sub-category]]))</f>
        <v>plays</v>
      </c>
    </row>
    <row r="572" spans="2:22" ht="15.75" customHeight="1" x14ac:dyDescent="0.25">
      <c r="B572">
        <v>569</v>
      </c>
      <c r="C572" t="s">
        <v>1182</v>
      </c>
      <c r="D572" s="3" t="s">
        <v>1183</v>
      </c>
      <c r="E572" s="6">
        <v>20100</v>
      </c>
      <c r="F572" s="6">
        <v>47705</v>
      </c>
      <c r="G572" s="17">
        <f>ROUND(Table1[[#This Row],[pledged]]/Table1[[#This Row],[goal]]*100,2)</f>
        <v>237.34</v>
      </c>
      <c r="H572" s="5">
        <f>+Table1[[#This Row],[pledged]]/Table1[[#This Row],[goal]]</f>
        <v>2.3733830845771142</v>
      </c>
      <c r="I572" t="s">
        <v>20</v>
      </c>
      <c r="J572">
        <v>589</v>
      </c>
      <c r="K572" s="8">
        <f>IFERROR(Table1[[#This Row],[pledged]]/Table1[[#This Row],[backers_count]],"NA")</f>
        <v>80.993208828522924</v>
      </c>
      <c r="L572" t="s">
        <v>107</v>
      </c>
      <c r="M572" t="s">
        <v>108</v>
      </c>
      <c r="N572">
        <v>1294725600</v>
      </c>
      <c r="O572">
        <v>1295762400</v>
      </c>
      <c r="P572" s="11">
        <f>+(((Table1[[#This Row],[launched_at]]/60)/60)/24)+DATE(1970,1,1)</f>
        <v>40554.25</v>
      </c>
      <c r="Q572" s="11">
        <f>+(((Table1[[#This Row],[deadline]]/60)/60)/24)+DATE(1970,1,1)</f>
        <v>40566.25</v>
      </c>
      <c r="R572" t="b">
        <v>0</v>
      </c>
      <c r="S572" t="b">
        <v>0</v>
      </c>
      <c r="T572" t="s">
        <v>71</v>
      </c>
      <c r="U572" t="str">
        <f>+LEFT(Table1[[#This Row],[category &amp; sub-category]],FIND("/",Table1[[#This Row],[category &amp; sub-category]])-1)</f>
        <v>film &amp; video</v>
      </c>
      <c r="V572" t="str">
        <f>+RIGHT(Table1[[#This Row],[category &amp; sub-category]],LEN(Table1[[#This Row],[category &amp; sub-category]])-SEARCH("/",Table1[[#This Row],[category &amp; sub-category]]))</f>
        <v>animation</v>
      </c>
    </row>
    <row r="573" spans="2:22" ht="15.75" customHeight="1" x14ac:dyDescent="0.25">
      <c r="B573">
        <v>570</v>
      </c>
      <c r="C573" t="s">
        <v>1184</v>
      </c>
      <c r="D573" s="3" t="s">
        <v>1185</v>
      </c>
      <c r="E573" s="6">
        <v>31200</v>
      </c>
      <c r="F573" s="6">
        <v>95364</v>
      </c>
      <c r="G573" s="17">
        <f>ROUND(Table1[[#This Row],[pledged]]/Table1[[#This Row],[goal]]*100,2)</f>
        <v>305.64999999999998</v>
      </c>
      <c r="H573" s="5">
        <f>+Table1[[#This Row],[pledged]]/Table1[[#This Row],[goal]]</f>
        <v>3.0565384615384614</v>
      </c>
      <c r="I573" t="s">
        <v>20</v>
      </c>
      <c r="J573">
        <v>2725</v>
      </c>
      <c r="K573" s="8">
        <f>IFERROR(Table1[[#This Row],[pledged]]/Table1[[#This Row],[backers_count]],"NA")</f>
        <v>34.995963302752294</v>
      </c>
      <c r="L573" t="s">
        <v>21</v>
      </c>
      <c r="M573" t="s">
        <v>22</v>
      </c>
      <c r="N573">
        <v>1419055200</v>
      </c>
      <c r="O573">
        <v>1419573600</v>
      </c>
      <c r="P573" s="11">
        <f>+(((Table1[[#This Row],[launched_at]]/60)/60)/24)+DATE(1970,1,1)</f>
        <v>41993.25</v>
      </c>
      <c r="Q573" s="11">
        <f>+(((Table1[[#This Row],[deadline]]/60)/60)/24)+DATE(1970,1,1)</f>
        <v>41999.25</v>
      </c>
      <c r="R573" t="b">
        <v>0</v>
      </c>
      <c r="S573" t="b">
        <v>1</v>
      </c>
      <c r="T573" t="s">
        <v>23</v>
      </c>
      <c r="U573" t="str">
        <f>+LEFT(Table1[[#This Row],[category &amp; sub-category]],FIND("/",Table1[[#This Row],[category &amp; sub-category]])-1)</f>
        <v>music</v>
      </c>
      <c r="V573" t="str">
        <f>+RIGHT(Table1[[#This Row],[category &amp; sub-category]],LEN(Table1[[#This Row],[category &amp; sub-category]])-SEARCH("/",Table1[[#This Row],[category &amp; sub-category]]))</f>
        <v>rock</v>
      </c>
    </row>
    <row r="574" spans="2:22" ht="15.75" customHeight="1" x14ac:dyDescent="0.25">
      <c r="B574">
        <v>571</v>
      </c>
      <c r="C574" t="s">
        <v>1186</v>
      </c>
      <c r="D574" s="3" t="s">
        <v>1187</v>
      </c>
      <c r="E574" s="6">
        <v>3500</v>
      </c>
      <c r="F574" s="6">
        <v>3295</v>
      </c>
      <c r="G574" s="17">
        <f>ROUND(Table1[[#This Row],[pledged]]/Table1[[#This Row],[goal]]*100,2)</f>
        <v>94.14</v>
      </c>
      <c r="H574" s="5">
        <f>+Table1[[#This Row],[pledged]]/Table1[[#This Row],[goal]]</f>
        <v>0.94142857142857139</v>
      </c>
      <c r="I574" t="s">
        <v>14</v>
      </c>
      <c r="J574">
        <v>35</v>
      </c>
      <c r="K574" s="8">
        <f>IFERROR(Table1[[#This Row],[pledged]]/Table1[[#This Row],[backers_count]],"NA")</f>
        <v>94.142857142857139</v>
      </c>
      <c r="L574" t="s">
        <v>107</v>
      </c>
      <c r="M574" t="s">
        <v>108</v>
      </c>
      <c r="N574">
        <v>1434690000</v>
      </c>
      <c r="O574">
        <v>1438750800</v>
      </c>
      <c r="P574" s="11">
        <f>+(((Table1[[#This Row],[launched_at]]/60)/60)/24)+DATE(1970,1,1)</f>
        <v>42174.208333333328</v>
      </c>
      <c r="Q574" s="11">
        <f>+(((Table1[[#This Row],[deadline]]/60)/60)/24)+DATE(1970,1,1)</f>
        <v>42221.208333333328</v>
      </c>
      <c r="R574" t="b">
        <v>0</v>
      </c>
      <c r="S574" t="b">
        <v>0</v>
      </c>
      <c r="T574" t="s">
        <v>100</v>
      </c>
      <c r="U574" t="str">
        <f>+LEFT(Table1[[#This Row],[category &amp; sub-category]],FIND("/",Table1[[#This Row],[category &amp; sub-category]])-1)</f>
        <v>film &amp; video</v>
      </c>
      <c r="V574" t="str">
        <f>+RIGHT(Table1[[#This Row],[category &amp; sub-category]],LEN(Table1[[#This Row],[category &amp; sub-category]])-SEARCH("/",Table1[[#This Row],[category &amp; sub-category]]))</f>
        <v>shorts</v>
      </c>
    </row>
    <row r="575" spans="2:22" ht="15.75" customHeight="1" x14ac:dyDescent="0.25">
      <c r="B575">
        <v>572</v>
      </c>
      <c r="C575" t="s">
        <v>1188</v>
      </c>
      <c r="D575" s="3" t="s">
        <v>1189</v>
      </c>
      <c r="E575" s="6">
        <v>9000</v>
      </c>
      <c r="F575" s="6">
        <v>4896</v>
      </c>
      <c r="G575" s="17">
        <f>ROUND(Table1[[#This Row],[pledged]]/Table1[[#This Row],[goal]]*100,2)</f>
        <v>54.4</v>
      </c>
      <c r="H575" s="5">
        <f>+Table1[[#This Row],[pledged]]/Table1[[#This Row],[goal]]</f>
        <v>0.54400000000000004</v>
      </c>
      <c r="I575" t="s">
        <v>74</v>
      </c>
      <c r="J575">
        <v>94</v>
      </c>
      <c r="K575" s="8">
        <f>IFERROR(Table1[[#This Row],[pledged]]/Table1[[#This Row],[backers_count]],"NA")</f>
        <v>52.085106382978722</v>
      </c>
      <c r="L575" t="s">
        <v>21</v>
      </c>
      <c r="M575" t="s">
        <v>22</v>
      </c>
      <c r="N575">
        <v>1443416400</v>
      </c>
      <c r="O575">
        <v>1444798800</v>
      </c>
      <c r="P575" s="11">
        <f>+(((Table1[[#This Row],[launched_at]]/60)/60)/24)+DATE(1970,1,1)</f>
        <v>42275.208333333328</v>
      </c>
      <c r="Q575" s="11">
        <f>+(((Table1[[#This Row],[deadline]]/60)/60)/24)+DATE(1970,1,1)</f>
        <v>42291.208333333328</v>
      </c>
      <c r="R575" t="b">
        <v>0</v>
      </c>
      <c r="S575" t="b">
        <v>1</v>
      </c>
      <c r="T575" t="s">
        <v>23</v>
      </c>
      <c r="U575" t="str">
        <f>+LEFT(Table1[[#This Row],[category &amp; sub-category]],FIND("/",Table1[[#This Row],[category &amp; sub-category]])-1)</f>
        <v>music</v>
      </c>
      <c r="V575" t="str">
        <f>+RIGHT(Table1[[#This Row],[category &amp; sub-category]],LEN(Table1[[#This Row],[category &amp; sub-category]])-SEARCH("/",Table1[[#This Row],[category &amp; sub-category]]))</f>
        <v>rock</v>
      </c>
    </row>
    <row r="576" spans="2:22" ht="15.75" customHeight="1" x14ac:dyDescent="0.25">
      <c r="B576">
        <v>573</v>
      </c>
      <c r="C576" t="s">
        <v>1190</v>
      </c>
      <c r="D576" s="3" t="s">
        <v>1191</v>
      </c>
      <c r="E576" s="6">
        <v>6700</v>
      </c>
      <c r="F576" s="6">
        <v>7496</v>
      </c>
      <c r="G576" s="17">
        <f>ROUND(Table1[[#This Row],[pledged]]/Table1[[#This Row],[goal]]*100,2)</f>
        <v>111.88</v>
      </c>
      <c r="H576" s="5">
        <f>+Table1[[#This Row],[pledged]]/Table1[[#This Row],[goal]]</f>
        <v>1.1188059701492536</v>
      </c>
      <c r="I576" t="s">
        <v>20</v>
      </c>
      <c r="J576">
        <v>300</v>
      </c>
      <c r="K576" s="8">
        <f>IFERROR(Table1[[#This Row],[pledged]]/Table1[[#This Row],[backers_count]],"NA")</f>
        <v>24.986666666666668</v>
      </c>
      <c r="L576" t="s">
        <v>21</v>
      </c>
      <c r="M576" t="s">
        <v>22</v>
      </c>
      <c r="N576">
        <v>1399006800</v>
      </c>
      <c r="O576">
        <v>1399179600</v>
      </c>
      <c r="P576" s="11">
        <f>+(((Table1[[#This Row],[launched_at]]/60)/60)/24)+DATE(1970,1,1)</f>
        <v>41761.208333333336</v>
      </c>
      <c r="Q576" s="11">
        <f>+(((Table1[[#This Row],[deadline]]/60)/60)/24)+DATE(1970,1,1)</f>
        <v>41763.208333333336</v>
      </c>
      <c r="R576" t="b">
        <v>0</v>
      </c>
      <c r="S576" t="b">
        <v>0</v>
      </c>
      <c r="T576" t="s">
        <v>1029</v>
      </c>
      <c r="U576" t="str">
        <f>+LEFT(Table1[[#This Row],[category &amp; sub-category]],FIND("/",Table1[[#This Row],[category &amp; sub-category]])-1)</f>
        <v>journalism</v>
      </c>
      <c r="V576" t="str">
        <f>+RIGHT(Table1[[#This Row],[category &amp; sub-category]],LEN(Table1[[#This Row],[category &amp; sub-category]])-SEARCH("/",Table1[[#This Row],[category &amp; sub-category]]))</f>
        <v>audio</v>
      </c>
    </row>
    <row r="577" spans="2:22" ht="15.75" customHeight="1" x14ac:dyDescent="0.25">
      <c r="B577">
        <v>574</v>
      </c>
      <c r="C577" t="s">
        <v>1192</v>
      </c>
      <c r="D577" s="3" t="s">
        <v>1193</v>
      </c>
      <c r="E577" s="6">
        <v>2700</v>
      </c>
      <c r="F577" s="6">
        <v>9967</v>
      </c>
      <c r="G577" s="17">
        <f>ROUND(Table1[[#This Row],[pledged]]/Table1[[#This Row],[goal]]*100,2)</f>
        <v>369.15</v>
      </c>
      <c r="H577" s="5">
        <f>+Table1[[#This Row],[pledged]]/Table1[[#This Row],[goal]]</f>
        <v>3.6914814814814814</v>
      </c>
      <c r="I577" t="s">
        <v>20</v>
      </c>
      <c r="J577">
        <v>144</v>
      </c>
      <c r="K577" s="8">
        <f>IFERROR(Table1[[#This Row],[pledged]]/Table1[[#This Row],[backers_count]],"NA")</f>
        <v>69.215277777777771</v>
      </c>
      <c r="L577" t="s">
        <v>21</v>
      </c>
      <c r="M577" t="s">
        <v>22</v>
      </c>
      <c r="N577">
        <v>1575698400</v>
      </c>
      <c r="O577">
        <v>1576562400</v>
      </c>
      <c r="P577" s="11">
        <f>+(((Table1[[#This Row],[launched_at]]/60)/60)/24)+DATE(1970,1,1)</f>
        <v>43806.25</v>
      </c>
      <c r="Q577" s="11">
        <f>+(((Table1[[#This Row],[deadline]]/60)/60)/24)+DATE(1970,1,1)</f>
        <v>43816.25</v>
      </c>
      <c r="R577" t="b">
        <v>0</v>
      </c>
      <c r="S577" t="b">
        <v>1</v>
      </c>
      <c r="T577" t="s">
        <v>17</v>
      </c>
      <c r="U577" t="str">
        <f>+LEFT(Table1[[#This Row],[category &amp; sub-category]],FIND("/",Table1[[#This Row],[category &amp; sub-category]])-1)</f>
        <v>food</v>
      </c>
      <c r="V577" t="str">
        <f>+RIGHT(Table1[[#This Row],[category &amp; sub-category]],LEN(Table1[[#This Row],[category &amp; sub-category]])-SEARCH("/",Table1[[#This Row],[category &amp; sub-category]]))</f>
        <v>food trucks</v>
      </c>
    </row>
    <row r="578" spans="2:22" ht="15.75" customHeight="1" x14ac:dyDescent="0.25">
      <c r="B578">
        <v>575</v>
      </c>
      <c r="C578" t="s">
        <v>1194</v>
      </c>
      <c r="D578" s="3" t="s">
        <v>1195</v>
      </c>
      <c r="E578" s="6">
        <v>83300</v>
      </c>
      <c r="F578" s="6">
        <v>52421</v>
      </c>
      <c r="G578" s="17">
        <f>ROUND(Table1[[#This Row],[pledged]]/Table1[[#This Row],[goal]]*100,2)</f>
        <v>62.93</v>
      </c>
      <c r="H578" s="5">
        <f>+Table1[[#This Row],[pledged]]/Table1[[#This Row],[goal]]</f>
        <v>0.62930372148859548</v>
      </c>
      <c r="I578" t="s">
        <v>14</v>
      </c>
      <c r="J578">
        <v>558</v>
      </c>
      <c r="K578" s="8">
        <f>IFERROR(Table1[[#This Row],[pledged]]/Table1[[#This Row],[backers_count]],"NA")</f>
        <v>93.944444444444443</v>
      </c>
      <c r="L578" t="s">
        <v>21</v>
      </c>
      <c r="M578" t="s">
        <v>22</v>
      </c>
      <c r="N578">
        <v>1400562000</v>
      </c>
      <c r="O578">
        <v>1400821200</v>
      </c>
      <c r="P578" s="11">
        <f>+(((Table1[[#This Row],[launched_at]]/60)/60)/24)+DATE(1970,1,1)</f>
        <v>41779.208333333336</v>
      </c>
      <c r="Q578" s="11">
        <f>+(((Table1[[#This Row],[deadline]]/60)/60)/24)+DATE(1970,1,1)</f>
        <v>41782.208333333336</v>
      </c>
      <c r="R578" t="b">
        <v>0</v>
      </c>
      <c r="S578" t="b">
        <v>1</v>
      </c>
      <c r="T578" t="s">
        <v>33</v>
      </c>
      <c r="U578" t="str">
        <f>+LEFT(Table1[[#This Row],[category &amp; sub-category]],FIND("/",Table1[[#This Row],[category &amp; sub-category]])-1)</f>
        <v>theater</v>
      </c>
      <c r="V578" t="str">
        <f>+RIGHT(Table1[[#This Row],[category &amp; sub-category]],LEN(Table1[[#This Row],[category &amp; sub-category]])-SEARCH("/",Table1[[#This Row],[category &amp; sub-category]]))</f>
        <v>plays</v>
      </c>
    </row>
    <row r="579" spans="2:22" ht="15.75" customHeight="1" x14ac:dyDescent="0.25">
      <c r="B579">
        <v>576</v>
      </c>
      <c r="C579" t="s">
        <v>1196</v>
      </c>
      <c r="D579" s="3" t="s">
        <v>1197</v>
      </c>
      <c r="E579" s="6">
        <v>9700</v>
      </c>
      <c r="F579" s="6">
        <v>6298</v>
      </c>
      <c r="G579" s="17">
        <f>ROUND(Table1[[#This Row],[pledged]]/Table1[[#This Row],[goal]]*100,2)</f>
        <v>64.930000000000007</v>
      </c>
      <c r="H579" s="5">
        <f>+Table1[[#This Row],[pledged]]/Table1[[#This Row],[goal]]</f>
        <v>0.6492783505154639</v>
      </c>
      <c r="I579" t="s">
        <v>14</v>
      </c>
      <c r="J579">
        <v>64</v>
      </c>
      <c r="K579" s="8">
        <f>IFERROR(Table1[[#This Row],[pledged]]/Table1[[#This Row],[backers_count]],"NA")</f>
        <v>98.40625</v>
      </c>
      <c r="L579" t="s">
        <v>21</v>
      </c>
      <c r="M579" t="s">
        <v>22</v>
      </c>
      <c r="N579">
        <v>1509512400</v>
      </c>
      <c r="O579">
        <v>1510984800</v>
      </c>
      <c r="P579" s="11">
        <f>+(((Table1[[#This Row],[launched_at]]/60)/60)/24)+DATE(1970,1,1)</f>
        <v>43040.208333333328</v>
      </c>
      <c r="Q579" s="11">
        <f>+(((Table1[[#This Row],[deadline]]/60)/60)/24)+DATE(1970,1,1)</f>
        <v>43057.25</v>
      </c>
      <c r="R579" t="b">
        <v>0</v>
      </c>
      <c r="S579" t="b">
        <v>0</v>
      </c>
      <c r="T579" t="s">
        <v>33</v>
      </c>
      <c r="U579" t="str">
        <f>+LEFT(Table1[[#This Row],[category &amp; sub-category]],FIND("/",Table1[[#This Row],[category &amp; sub-category]])-1)</f>
        <v>theater</v>
      </c>
      <c r="V579" t="str">
        <f>+RIGHT(Table1[[#This Row],[category &amp; sub-category]],LEN(Table1[[#This Row],[category &amp; sub-category]])-SEARCH("/",Table1[[#This Row],[category &amp; sub-category]]))</f>
        <v>plays</v>
      </c>
    </row>
    <row r="580" spans="2:22" ht="15.75" customHeight="1" x14ac:dyDescent="0.25">
      <c r="B580">
        <v>577</v>
      </c>
      <c r="C580" t="s">
        <v>1198</v>
      </c>
      <c r="D580" s="3" t="s">
        <v>1199</v>
      </c>
      <c r="E580" s="6">
        <v>8200</v>
      </c>
      <c r="F580" s="6">
        <v>1546</v>
      </c>
      <c r="G580" s="17">
        <f>ROUND(Table1[[#This Row],[pledged]]/Table1[[#This Row],[goal]]*100,2)</f>
        <v>18.850000000000001</v>
      </c>
      <c r="H580" s="5">
        <f>+Table1[[#This Row],[pledged]]/Table1[[#This Row],[goal]]</f>
        <v>0.18853658536585366</v>
      </c>
      <c r="I580" t="s">
        <v>74</v>
      </c>
      <c r="J580">
        <v>37</v>
      </c>
      <c r="K580" s="8">
        <f>IFERROR(Table1[[#This Row],[pledged]]/Table1[[#This Row],[backers_count]],"NA")</f>
        <v>41.783783783783782</v>
      </c>
      <c r="L580" t="s">
        <v>21</v>
      </c>
      <c r="M580" t="s">
        <v>22</v>
      </c>
      <c r="N580">
        <v>1299823200</v>
      </c>
      <c r="O580">
        <v>1302066000</v>
      </c>
      <c r="P580" s="11">
        <f>+(((Table1[[#This Row],[launched_at]]/60)/60)/24)+DATE(1970,1,1)</f>
        <v>40613.25</v>
      </c>
      <c r="Q580" s="11">
        <f>+(((Table1[[#This Row],[deadline]]/60)/60)/24)+DATE(1970,1,1)</f>
        <v>40639.208333333336</v>
      </c>
      <c r="R580" t="b">
        <v>0</v>
      </c>
      <c r="S580" t="b">
        <v>0</v>
      </c>
      <c r="T580" t="s">
        <v>159</v>
      </c>
      <c r="U580" t="str">
        <f>+LEFT(Table1[[#This Row],[category &amp; sub-category]],FIND("/",Table1[[#This Row],[category &amp; sub-category]])-1)</f>
        <v>music</v>
      </c>
      <c r="V580" t="str">
        <f>+RIGHT(Table1[[#This Row],[category &amp; sub-category]],LEN(Table1[[#This Row],[category &amp; sub-category]])-SEARCH("/",Table1[[#This Row],[category &amp; sub-category]]))</f>
        <v>jazz</v>
      </c>
    </row>
    <row r="581" spans="2:22" ht="15.75" customHeight="1" x14ac:dyDescent="0.25">
      <c r="B581">
        <v>578</v>
      </c>
      <c r="C581" t="s">
        <v>1200</v>
      </c>
      <c r="D581" s="3" t="s">
        <v>1201</v>
      </c>
      <c r="E581" s="6">
        <v>96500</v>
      </c>
      <c r="F581" s="6">
        <v>16168</v>
      </c>
      <c r="G581" s="17">
        <f>ROUND(Table1[[#This Row],[pledged]]/Table1[[#This Row],[goal]]*100,2)</f>
        <v>16.75</v>
      </c>
      <c r="H581" s="5">
        <f>+Table1[[#This Row],[pledged]]/Table1[[#This Row],[goal]]</f>
        <v>0.1675440414507772</v>
      </c>
      <c r="I581" t="s">
        <v>14</v>
      </c>
      <c r="J581">
        <v>245</v>
      </c>
      <c r="K581" s="8">
        <f>IFERROR(Table1[[#This Row],[pledged]]/Table1[[#This Row],[backers_count]],"NA")</f>
        <v>65.991836734693877</v>
      </c>
      <c r="L581" t="s">
        <v>21</v>
      </c>
      <c r="M581" t="s">
        <v>22</v>
      </c>
      <c r="N581">
        <v>1322719200</v>
      </c>
      <c r="O581">
        <v>1322978400</v>
      </c>
      <c r="P581" s="11">
        <f>+(((Table1[[#This Row],[launched_at]]/60)/60)/24)+DATE(1970,1,1)</f>
        <v>40878.25</v>
      </c>
      <c r="Q581" s="11">
        <f>+(((Table1[[#This Row],[deadline]]/60)/60)/24)+DATE(1970,1,1)</f>
        <v>40881.25</v>
      </c>
      <c r="R581" t="b">
        <v>0</v>
      </c>
      <c r="S581" t="b">
        <v>0</v>
      </c>
      <c r="T581" t="s">
        <v>474</v>
      </c>
      <c r="U581" t="str">
        <f>+LEFT(Table1[[#This Row],[category &amp; sub-category]],FIND("/",Table1[[#This Row],[category &amp; sub-category]])-1)</f>
        <v>film &amp; video</v>
      </c>
      <c r="V581" t="str">
        <f>+RIGHT(Table1[[#This Row],[category &amp; sub-category]],LEN(Table1[[#This Row],[category &amp; sub-category]])-SEARCH("/",Table1[[#This Row],[category &amp; sub-category]]))</f>
        <v>science fiction</v>
      </c>
    </row>
    <row r="582" spans="2:22" ht="15.75" customHeight="1" x14ac:dyDescent="0.25">
      <c r="B582">
        <v>579</v>
      </c>
      <c r="C582" t="s">
        <v>1202</v>
      </c>
      <c r="D582" s="3" t="s">
        <v>1203</v>
      </c>
      <c r="E582" s="6">
        <v>6200</v>
      </c>
      <c r="F582" s="6">
        <v>6269</v>
      </c>
      <c r="G582" s="17">
        <f>ROUND(Table1[[#This Row],[pledged]]/Table1[[#This Row],[goal]]*100,2)</f>
        <v>101.11</v>
      </c>
      <c r="H582" s="5">
        <f>+Table1[[#This Row],[pledged]]/Table1[[#This Row],[goal]]</f>
        <v>1.0111290322580646</v>
      </c>
      <c r="I582" t="s">
        <v>20</v>
      </c>
      <c r="J582">
        <v>87</v>
      </c>
      <c r="K582" s="8">
        <f>IFERROR(Table1[[#This Row],[pledged]]/Table1[[#This Row],[backers_count]],"NA")</f>
        <v>72.05747126436782</v>
      </c>
      <c r="L582" t="s">
        <v>21</v>
      </c>
      <c r="M582" t="s">
        <v>22</v>
      </c>
      <c r="N582">
        <v>1312693200</v>
      </c>
      <c r="O582">
        <v>1313730000</v>
      </c>
      <c r="P582" s="11">
        <f>+(((Table1[[#This Row],[launched_at]]/60)/60)/24)+DATE(1970,1,1)</f>
        <v>40762.208333333336</v>
      </c>
      <c r="Q582" s="11">
        <f>+(((Table1[[#This Row],[deadline]]/60)/60)/24)+DATE(1970,1,1)</f>
        <v>40774.208333333336</v>
      </c>
      <c r="R582" t="b">
        <v>0</v>
      </c>
      <c r="S582" t="b">
        <v>0</v>
      </c>
      <c r="T582" t="s">
        <v>159</v>
      </c>
      <c r="U582" t="str">
        <f>+LEFT(Table1[[#This Row],[category &amp; sub-category]],FIND("/",Table1[[#This Row],[category &amp; sub-category]])-1)</f>
        <v>music</v>
      </c>
      <c r="V582" t="str">
        <f>+RIGHT(Table1[[#This Row],[category &amp; sub-category]],LEN(Table1[[#This Row],[category &amp; sub-category]])-SEARCH("/",Table1[[#This Row],[category &amp; sub-category]]))</f>
        <v>jazz</v>
      </c>
    </row>
    <row r="583" spans="2:22" ht="15.75" customHeight="1" x14ac:dyDescent="0.25">
      <c r="B583">
        <v>580</v>
      </c>
      <c r="C583" t="s">
        <v>556</v>
      </c>
      <c r="D583" s="3" t="s">
        <v>1204</v>
      </c>
      <c r="E583" s="6">
        <v>43800</v>
      </c>
      <c r="F583" s="6">
        <v>149578</v>
      </c>
      <c r="G583" s="17">
        <f>ROUND(Table1[[#This Row],[pledged]]/Table1[[#This Row],[goal]]*100,2)</f>
        <v>341.5</v>
      </c>
      <c r="H583" s="5">
        <f>+Table1[[#This Row],[pledged]]/Table1[[#This Row],[goal]]</f>
        <v>3.4150228310502282</v>
      </c>
      <c r="I583" t="s">
        <v>20</v>
      </c>
      <c r="J583">
        <v>3116</v>
      </c>
      <c r="K583" s="8">
        <f>IFERROR(Table1[[#This Row],[pledged]]/Table1[[#This Row],[backers_count]],"NA")</f>
        <v>48.003209242618745</v>
      </c>
      <c r="L583" t="s">
        <v>21</v>
      </c>
      <c r="M583" t="s">
        <v>22</v>
      </c>
      <c r="N583">
        <v>1393394400</v>
      </c>
      <c r="O583">
        <v>1394085600</v>
      </c>
      <c r="P583" s="11">
        <f>+(((Table1[[#This Row],[launched_at]]/60)/60)/24)+DATE(1970,1,1)</f>
        <v>41696.25</v>
      </c>
      <c r="Q583" s="11">
        <f>+(((Table1[[#This Row],[deadline]]/60)/60)/24)+DATE(1970,1,1)</f>
        <v>41704.25</v>
      </c>
      <c r="R583" t="b">
        <v>0</v>
      </c>
      <c r="S583" t="b">
        <v>0</v>
      </c>
      <c r="T583" t="s">
        <v>33</v>
      </c>
      <c r="U583" t="str">
        <f>+LEFT(Table1[[#This Row],[category &amp; sub-category]],FIND("/",Table1[[#This Row],[category &amp; sub-category]])-1)</f>
        <v>theater</v>
      </c>
      <c r="V583" t="str">
        <f>+RIGHT(Table1[[#This Row],[category &amp; sub-category]],LEN(Table1[[#This Row],[category &amp; sub-category]])-SEARCH("/",Table1[[#This Row],[category &amp; sub-category]]))</f>
        <v>plays</v>
      </c>
    </row>
    <row r="584" spans="2:22" ht="15.75" customHeight="1" x14ac:dyDescent="0.25">
      <c r="B584">
        <v>581</v>
      </c>
      <c r="C584" t="s">
        <v>1205</v>
      </c>
      <c r="D584" s="3" t="s">
        <v>1206</v>
      </c>
      <c r="E584" s="6">
        <v>6000</v>
      </c>
      <c r="F584" s="6">
        <v>3841</v>
      </c>
      <c r="G584" s="17">
        <f>ROUND(Table1[[#This Row],[pledged]]/Table1[[#This Row],[goal]]*100,2)</f>
        <v>64.02</v>
      </c>
      <c r="H584" s="5">
        <f>+Table1[[#This Row],[pledged]]/Table1[[#This Row],[goal]]</f>
        <v>0.64016666666666666</v>
      </c>
      <c r="I584" t="s">
        <v>14</v>
      </c>
      <c r="J584">
        <v>71</v>
      </c>
      <c r="K584" s="8">
        <f>IFERROR(Table1[[#This Row],[pledged]]/Table1[[#This Row],[backers_count]],"NA")</f>
        <v>54.098591549295776</v>
      </c>
      <c r="L584" t="s">
        <v>21</v>
      </c>
      <c r="M584" t="s">
        <v>22</v>
      </c>
      <c r="N584">
        <v>1304053200</v>
      </c>
      <c r="O584">
        <v>1305349200</v>
      </c>
      <c r="P584" s="11">
        <f>+(((Table1[[#This Row],[launched_at]]/60)/60)/24)+DATE(1970,1,1)</f>
        <v>40662.208333333336</v>
      </c>
      <c r="Q584" s="11">
        <f>+(((Table1[[#This Row],[deadline]]/60)/60)/24)+DATE(1970,1,1)</f>
        <v>40677.208333333336</v>
      </c>
      <c r="R584" t="b">
        <v>0</v>
      </c>
      <c r="S584" t="b">
        <v>0</v>
      </c>
      <c r="T584" t="s">
        <v>28</v>
      </c>
      <c r="U584" t="str">
        <f>+LEFT(Table1[[#This Row],[category &amp; sub-category]],FIND("/",Table1[[#This Row],[category &amp; sub-category]])-1)</f>
        <v>technology</v>
      </c>
      <c r="V584" t="str">
        <f>+RIGHT(Table1[[#This Row],[category &amp; sub-category]],LEN(Table1[[#This Row],[category &amp; sub-category]])-SEARCH("/",Table1[[#This Row],[category &amp; sub-category]]))</f>
        <v>web</v>
      </c>
    </row>
    <row r="585" spans="2:22" ht="15.75" customHeight="1" x14ac:dyDescent="0.25">
      <c r="B585">
        <v>582</v>
      </c>
      <c r="C585" t="s">
        <v>1207</v>
      </c>
      <c r="D585" s="3" t="s">
        <v>1208</v>
      </c>
      <c r="E585" s="6">
        <v>8700</v>
      </c>
      <c r="F585" s="6">
        <v>4531</v>
      </c>
      <c r="G585" s="17">
        <f>ROUND(Table1[[#This Row],[pledged]]/Table1[[#This Row],[goal]]*100,2)</f>
        <v>52.08</v>
      </c>
      <c r="H585" s="5">
        <f>+Table1[[#This Row],[pledged]]/Table1[[#This Row],[goal]]</f>
        <v>0.5208045977011494</v>
      </c>
      <c r="I585" t="s">
        <v>14</v>
      </c>
      <c r="J585">
        <v>42</v>
      </c>
      <c r="K585" s="8">
        <f>IFERROR(Table1[[#This Row],[pledged]]/Table1[[#This Row],[backers_count]],"NA")</f>
        <v>107.88095238095238</v>
      </c>
      <c r="L585" t="s">
        <v>21</v>
      </c>
      <c r="M585" t="s">
        <v>22</v>
      </c>
      <c r="N585">
        <v>1433912400</v>
      </c>
      <c r="O585">
        <v>1434344400</v>
      </c>
      <c r="P585" s="11">
        <f>+(((Table1[[#This Row],[launched_at]]/60)/60)/24)+DATE(1970,1,1)</f>
        <v>42165.208333333328</v>
      </c>
      <c r="Q585" s="11">
        <f>+(((Table1[[#This Row],[deadline]]/60)/60)/24)+DATE(1970,1,1)</f>
        <v>42170.208333333328</v>
      </c>
      <c r="R585" t="b">
        <v>0</v>
      </c>
      <c r="S585" t="b">
        <v>1</v>
      </c>
      <c r="T585" t="s">
        <v>89</v>
      </c>
      <c r="U585" t="str">
        <f>+LEFT(Table1[[#This Row],[category &amp; sub-category]],FIND("/",Table1[[#This Row],[category &amp; sub-category]])-1)</f>
        <v>games</v>
      </c>
      <c r="V585" t="str">
        <f>+RIGHT(Table1[[#This Row],[category &amp; sub-category]],LEN(Table1[[#This Row],[category &amp; sub-category]])-SEARCH("/",Table1[[#This Row],[category &amp; sub-category]]))</f>
        <v>video games</v>
      </c>
    </row>
    <row r="586" spans="2:22" ht="15.75" customHeight="1" x14ac:dyDescent="0.25">
      <c r="B586">
        <v>583</v>
      </c>
      <c r="C586" t="s">
        <v>1209</v>
      </c>
      <c r="D586" s="3" t="s">
        <v>1210</v>
      </c>
      <c r="E586" s="6">
        <v>18900</v>
      </c>
      <c r="F586" s="6">
        <v>60934</v>
      </c>
      <c r="G586" s="17">
        <f>ROUND(Table1[[#This Row],[pledged]]/Table1[[#This Row],[goal]]*100,2)</f>
        <v>322.39999999999998</v>
      </c>
      <c r="H586" s="5">
        <f>+Table1[[#This Row],[pledged]]/Table1[[#This Row],[goal]]</f>
        <v>3.2240211640211642</v>
      </c>
      <c r="I586" t="s">
        <v>20</v>
      </c>
      <c r="J586">
        <v>909</v>
      </c>
      <c r="K586" s="8">
        <f>IFERROR(Table1[[#This Row],[pledged]]/Table1[[#This Row],[backers_count]],"NA")</f>
        <v>67.034103410341032</v>
      </c>
      <c r="L586" t="s">
        <v>21</v>
      </c>
      <c r="M586" t="s">
        <v>22</v>
      </c>
      <c r="N586">
        <v>1329717600</v>
      </c>
      <c r="O586">
        <v>1331186400</v>
      </c>
      <c r="P586" s="11">
        <f>+(((Table1[[#This Row],[launched_at]]/60)/60)/24)+DATE(1970,1,1)</f>
        <v>40959.25</v>
      </c>
      <c r="Q586" s="11">
        <f>+(((Table1[[#This Row],[deadline]]/60)/60)/24)+DATE(1970,1,1)</f>
        <v>40976.25</v>
      </c>
      <c r="R586" t="b">
        <v>0</v>
      </c>
      <c r="S586" t="b">
        <v>0</v>
      </c>
      <c r="T586" t="s">
        <v>42</v>
      </c>
      <c r="U586" t="str">
        <f>+LEFT(Table1[[#This Row],[category &amp; sub-category]],FIND("/",Table1[[#This Row],[category &amp; sub-category]])-1)</f>
        <v>film &amp; video</v>
      </c>
      <c r="V586" t="str">
        <f>+RIGHT(Table1[[#This Row],[category &amp; sub-category]],LEN(Table1[[#This Row],[category &amp; sub-category]])-SEARCH("/",Table1[[#This Row],[category &amp; sub-category]]))</f>
        <v>documentary</v>
      </c>
    </row>
    <row r="587" spans="2:22" ht="15.75" customHeight="1" x14ac:dyDescent="0.25">
      <c r="B587">
        <v>584</v>
      </c>
      <c r="C587" t="s">
        <v>45</v>
      </c>
      <c r="D587" s="3" t="s">
        <v>1211</v>
      </c>
      <c r="E587" s="6">
        <v>86400</v>
      </c>
      <c r="F587" s="6">
        <v>103255</v>
      </c>
      <c r="G587" s="17">
        <f>ROUND(Table1[[#This Row],[pledged]]/Table1[[#This Row],[goal]]*100,2)</f>
        <v>119.51</v>
      </c>
      <c r="H587" s="5">
        <f>+Table1[[#This Row],[pledged]]/Table1[[#This Row],[goal]]</f>
        <v>1.1950810185185186</v>
      </c>
      <c r="I587" t="s">
        <v>20</v>
      </c>
      <c r="J587">
        <v>1613</v>
      </c>
      <c r="K587" s="8">
        <f>IFERROR(Table1[[#This Row],[pledged]]/Table1[[#This Row],[backers_count]],"NA")</f>
        <v>64.01425914445133</v>
      </c>
      <c r="L587" t="s">
        <v>21</v>
      </c>
      <c r="M587" t="s">
        <v>22</v>
      </c>
      <c r="N587">
        <v>1335330000</v>
      </c>
      <c r="O587">
        <v>1336539600</v>
      </c>
      <c r="P587" s="11">
        <f>+(((Table1[[#This Row],[launched_at]]/60)/60)/24)+DATE(1970,1,1)</f>
        <v>41024.208333333336</v>
      </c>
      <c r="Q587" s="11">
        <f>+(((Table1[[#This Row],[deadline]]/60)/60)/24)+DATE(1970,1,1)</f>
        <v>41038.208333333336</v>
      </c>
      <c r="R587" t="b">
        <v>0</v>
      </c>
      <c r="S587" t="b">
        <v>0</v>
      </c>
      <c r="T587" t="s">
        <v>28</v>
      </c>
      <c r="U587" t="str">
        <f>+LEFT(Table1[[#This Row],[category &amp; sub-category]],FIND("/",Table1[[#This Row],[category &amp; sub-category]])-1)</f>
        <v>technology</v>
      </c>
      <c r="V587" t="str">
        <f>+RIGHT(Table1[[#This Row],[category &amp; sub-category]],LEN(Table1[[#This Row],[category &amp; sub-category]])-SEARCH("/",Table1[[#This Row],[category &amp; sub-category]]))</f>
        <v>web</v>
      </c>
    </row>
    <row r="588" spans="2:22" ht="15.75" customHeight="1" x14ac:dyDescent="0.25">
      <c r="B588">
        <v>585</v>
      </c>
      <c r="C588" t="s">
        <v>1212</v>
      </c>
      <c r="D588" s="3" t="s">
        <v>1213</v>
      </c>
      <c r="E588" s="6">
        <v>8900</v>
      </c>
      <c r="F588" s="6">
        <v>13065</v>
      </c>
      <c r="G588" s="17">
        <f>ROUND(Table1[[#This Row],[pledged]]/Table1[[#This Row],[goal]]*100,2)</f>
        <v>146.80000000000001</v>
      </c>
      <c r="H588" s="5">
        <f>+Table1[[#This Row],[pledged]]/Table1[[#This Row],[goal]]</f>
        <v>1.4679775280898877</v>
      </c>
      <c r="I588" t="s">
        <v>20</v>
      </c>
      <c r="J588">
        <v>136</v>
      </c>
      <c r="K588" s="8">
        <f>IFERROR(Table1[[#This Row],[pledged]]/Table1[[#This Row],[backers_count]],"NA")</f>
        <v>96.066176470588232</v>
      </c>
      <c r="L588" t="s">
        <v>21</v>
      </c>
      <c r="M588" t="s">
        <v>22</v>
      </c>
      <c r="N588">
        <v>1268888400</v>
      </c>
      <c r="O588">
        <v>1269752400</v>
      </c>
      <c r="P588" s="11">
        <f>+(((Table1[[#This Row],[launched_at]]/60)/60)/24)+DATE(1970,1,1)</f>
        <v>40255.208333333336</v>
      </c>
      <c r="Q588" s="11">
        <f>+(((Table1[[#This Row],[deadline]]/60)/60)/24)+DATE(1970,1,1)</f>
        <v>40265.208333333336</v>
      </c>
      <c r="R588" t="b">
        <v>0</v>
      </c>
      <c r="S588" t="b">
        <v>0</v>
      </c>
      <c r="T588" t="s">
        <v>206</v>
      </c>
      <c r="U588" t="str">
        <f>+LEFT(Table1[[#This Row],[category &amp; sub-category]],FIND("/",Table1[[#This Row],[category &amp; sub-category]])-1)</f>
        <v>publishing</v>
      </c>
      <c r="V588" t="str">
        <f>+RIGHT(Table1[[#This Row],[category &amp; sub-category]],LEN(Table1[[#This Row],[category &amp; sub-category]])-SEARCH("/",Table1[[#This Row],[category &amp; sub-category]]))</f>
        <v>translations</v>
      </c>
    </row>
    <row r="589" spans="2:22" ht="15.75" customHeight="1" x14ac:dyDescent="0.25">
      <c r="B589">
        <v>586</v>
      </c>
      <c r="C589" t="s">
        <v>1214</v>
      </c>
      <c r="D589" s="3" t="s">
        <v>1215</v>
      </c>
      <c r="E589" s="6">
        <v>700</v>
      </c>
      <c r="F589" s="6">
        <v>6654</v>
      </c>
      <c r="G589" s="17">
        <f>ROUND(Table1[[#This Row],[pledged]]/Table1[[#This Row],[goal]]*100,2)</f>
        <v>950.57</v>
      </c>
      <c r="H589" s="5">
        <f>+Table1[[#This Row],[pledged]]/Table1[[#This Row],[goal]]</f>
        <v>9.5057142857142853</v>
      </c>
      <c r="I589" t="s">
        <v>20</v>
      </c>
      <c r="J589">
        <v>130</v>
      </c>
      <c r="K589" s="8">
        <f>IFERROR(Table1[[#This Row],[pledged]]/Table1[[#This Row],[backers_count]],"NA")</f>
        <v>51.184615384615384</v>
      </c>
      <c r="L589" t="s">
        <v>21</v>
      </c>
      <c r="M589" t="s">
        <v>22</v>
      </c>
      <c r="N589">
        <v>1289973600</v>
      </c>
      <c r="O589">
        <v>1291615200</v>
      </c>
      <c r="P589" s="11">
        <f>+(((Table1[[#This Row],[launched_at]]/60)/60)/24)+DATE(1970,1,1)</f>
        <v>40499.25</v>
      </c>
      <c r="Q589" s="11">
        <f>+(((Table1[[#This Row],[deadline]]/60)/60)/24)+DATE(1970,1,1)</f>
        <v>40518.25</v>
      </c>
      <c r="R589" t="b">
        <v>0</v>
      </c>
      <c r="S589" t="b">
        <v>0</v>
      </c>
      <c r="T589" t="s">
        <v>23</v>
      </c>
      <c r="U589" t="str">
        <f>+LEFT(Table1[[#This Row],[category &amp; sub-category]],FIND("/",Table1[[#This Row],[category &amp; sub-category]])-1)</f>
        <v>music</v>
      </c>
      <c r="V589" t="str">
        <f>+RIGHT(Table1[[#This Row],[category &amp; sub-category]],LEN(Table1[[#This Row],[category &amp; sub-category]])-SEARCH("/",Table1[[#This Row],[category &amp; sub-category]]))</f>
        <v>rock</v>
      </c>
    </row>
    <row r="590" spans="2:22" ht="15.75" customHeight="1" x14ac:dyDescent="0.25">
      <c r="B590">
        <v>587</v>
      </c>
      <c r="C590" t="s">
        <v>1216</v>
      </c>
      <c r="D590" s="3" t="s">
        <v>1217</v>
      </c>
      <c r="E590" s="6">
        <v>9400</v>
      </c>
      <c r="F590" s="6">
        <v>6852</v>
      </c>
      <c r="G590" s="17">
        <f>ROUND(Table1[[#This Row],[pledged]]/Table1[[#This Row],[goal]]*100,2)</f>
        <v>72.89</v>
      </c>
      <c r="H590" s="5">
        <f>+Table1[[#This Row],[pledged]]/Table1[[#This Row],[goal]]</f>
        <v>0.72893617021276591</v>
      </c>
      <c r="I590" t="s">
        <v>14</v>
      </c>
      <c r="J590">
        <v>156</v>
      </c>
      <c r="K590" s="8">
        <f>IFERROR(Table1[[#This Row],[pledged]]/Table1[[#This Row],[backers_count]],"NA")</f>
        <v>43.92307692307692</v>
      </c>
      <c r="L590" t="s">
        <v>15</v>
      </c>
      <c r="M590" t="s">
        <v>16</v>
      </c>
      <c r="N590">
        <v>1547877600</v>
      </c>
      <c r="O590">
        <v>1552366800</v>
      </c>
      <c r="P590" s="11">
        <f>+(((Table1[[#This Row],[launched_at]]/60)/60)/24)+DATE(1970,1,1)</f>
        <v>43484.25</v>
      </c>
      <c r="Q590" s="11">
        <f>+(((Table1[[#This Row],[deadline]]/60)/60)/24)+DATE(1970,1,1)</f>
        <v>43536.208333333328</v>
      </c>
      <c r="R590" t="b">
        <v>0</v>
      </c>
      <c r="S590" t="b">
        <v>1</v>
      </c>
      <c r="T590" t="s">
        <v>17</v>
      </c>
      <c r="U590" t="str">
        <f>+LEFT(Table1[[#This Row],[category &amp; sub-category]],FIND("/",Table1[[#This Row],[category &amp; sub-category]])-1)</f>
        <v>food</v>
      </c>
      <c r="V590" t="str">
        <f>+RIGHT(Table1[[#This Row],[category &amp; sub-category]],LEN(Table1[[#This Row],[category &amp; sub-category]])-SEARCH("/",Table1[[#This Row],[category &amp; sub-category]]))</f>
        <v>food trucks</v>
      </c>
    </row>
    <row r="591" spans="2:22" ht="15.75" customHeight="1" x14ac:dyDescent="0.25">
      <c r="B591">
        <v>588</v>
      </c>
      <c r="C591" t="s">
        <v>1218</v>
      </c>
      <c r="D591" s="3" t="s">
        <v>1219</v>
      </c>
      <c r="E591" s="6">
        <v>157600</v>
      </c>
      <c r="F591" s="6">
        <v>124517</v>
      </c>
      <c r="G591" s="17">
        <f>ROUND(Table1[[#This Row],[pledged]]/Table1[[#This Row],[goal]]*100,2)</f>
        <v>79.010000000000005</v>
      </c>
      <c r="H591" s="5">
        <f>+Table1[[#This Row],[pledged]]/Table1[[#This Row],[goal]]</f>
        <v>0.7900824873096447</v>
      </c>
      <c r="I591" t="s">
        <v>14</v>
      </c>
      <c r="J591">
        <v>1368</v>
      </c>
      <c r="K591" s="8">
        <f>IFERROR(Table1[[#This Row],[pledged]]/Table1[[#This Row],[backers_count]],"NA")</f>
        <v>91.021198830409361</v>
      </c>
      <c r="L591" t="s">
        <v>40</v>
      </c>
      <c r="M591" t="s">
        <v>41</v>
      </c>
      <c r="N591">
        <v>1269493200</v>
      </c>
      <c r="O591">
        <v>1272171600</v>
      </c>
      <c r="P591" s="11">
        <f>+(((Table1[[#This Row],[launched_at]]/60)/60)/24)+DATE(1970,1,1)</f>
        <v>40262.208333333336</v>
      </c>
      <c r="Q591" s="11">
        <f>+(((Table1[[#This Row],[deadline]]/60)/60)/24)+DATE(1970,1,1)</f>
        <v>40293.208333333336</v>
      </c>
      <c r="R591" t="b">
        <v>0</v>
      </c>
      <c r="S591" t="b">
        <v>0</v>
      </c>
      <c r="T591" t="s">
        <v>33</v>
      </c>
      <c r="U591" t="str">
        <f>+LEFT(Table1[[#This Row],[category &amp; sub-category]],FIND("/",Table1[[#This Row],[category &amp; sub-category]])-1)</f>
        <v>theater</v>
      </c>
      <c r="V591" t="str">
        <f>+RIGHT(Table1[[#This Row],[category &amp; sub-category]],LEN(Table1[[#This Row],[category &amp; sub-category]])-SEARCH("/",Table1[[#This Row],[category &amp; sub-category]]))</f>
        <v>plays</v>
      </c>
    </row>
    <row r="592" spans="2:22" ht="15.75" customHeight="1" x14ac:dyDescent="0.25">
      <c r="B592">
        <v>589</v>
      </c>
      <c r="C592" t="s">
        <v>1220</v>
      </c>
      <c r="D592" s="3" t="s">
        <v>1221</v>
      </c>
      <c r="E592" s="6">
        <v>7900</v>
      </c>
      <c r="F592" s="6">
        <v>5113</v>
      </c>
      <c r="G592" s="17">
        <f>ROUND(Table1[[#This Row],[pledged]]/Table1[[#This Row],[goal]]*100,2)</f>
        <v>64.72</v>
      </c>
      <c r="H592" s="5">
        <f>+Table1[[#This Row],[pledged]]/Table1[[#This Row],[goal]]</f>
        <v>0.64721518987341775</v>
      </c>
      <c r="I592" t="s">
        <v>14</v>
      </c>
      <c r="J592">
        <v>102</v>
      </c>
      <c r="K592" s="8">
        <f>IFERROR(Table1[[#This Row],[pledged]]/Table1[[#This Row],[backers_count]],"NA")</f>
        <v>50.127450980392155</v>
      </c>
      <c r="L592" t="s">
        <v>21</v>
      </c>
      <c r="M592" t="s">
        <v>22</v>
      </c>
      <c r="N592">
        <v>1436072400</v>
      </c>
      <c r="O592">
        <v>1436677200</v>
      </c>
      <c r="P592" s="11">
        <f>+(((Table1[[#This Row],[launched_at]]/60)/60)/24)+DATE(1970,1,1)</f>
        <v>42190.208333333328</v>
      </c>
      <c r="Q592" s="11">
        <f>+(((Table1[[#This Row],[deadline]]/60)/60)/24)+DATE(1970,1,1)</f>
        <v>42197.208333333328</v>
      </c>
      <c r="R592" t="b">
        <v>0</v>
      </c>
      <c r="S592" t="b">
        <v>0</v>
      </c>
      <c r="T592" t="s">
        <v>42</v>
      </c>
      <c r="U592" t="str">
        <f>+LEFT(Table1[[#This Row],[category &amp; sub-category]],FIND("/",Table1[[#This Row],[category &amp; sub-category]])-1)</f>
        <v>film &amp; video</v>
      </c>
      <c r="V592" t="str">
        <f>+RIGHT(Table1[[#This Row],[category &amp; sub-category]],LEN(Table1[[#This Row],[category &amp; sub-category]])-SEARCH("/",Table1[[#This Row],[category &amp; sub-category]]))</f>
        <v>documentary</v>
      </c>
    </row>
    <row r="593" spans="2:22" ht="15.75" customHeight="1" x14ac:dyDescent="0.25">
      <c r="B593">
        <v>590</v>
      </c>
      <c r="C593" t="s">
        <v>1222</v>
      </c>
      <c r="D593" s="3" t="s">
        <v>1223</v>
      </c>
      <c r="E593" s="6">
        <v>7100</v>
      </c>
      <c r="F593" s="6">
        <v>5824</v>
      </c>
      <c r="G593" s="17">
        <f>ROUND(Table1[[#This Row],[pledged]]/Table1[[#This Row],[goal]]*100,2)</f>
        <v>82.03</v>
      </c>
      <c r="H593" s="5">
        <f>+Table1[[#This Row],[pledged]]/Table1[[#This Row],[goal]]</f>
        <v>0.82028169014084507</v>
      </c>
      <c r="I593" t="s">
        <v>14</v>
      </c>
      <c r="J593">
        <v>86</v>
      </c>
      <c r="K593" s="8">
        <f>IFERROR(Table1[[#This Row],[pledged]]/Table1[[#This Row],[backers_count]],"NA")</f>
        <v>67.720930232558146</v>
      </c>
      <c r="L593" t="s">
        <v>26</v>
      </c>
      <c r="M593" t="s">
        <v>27</v>
      </c>
      <c r="N593">
        <v>1419141600</v>
      </c>
      <c r="O593">
        <v>1420092000</v>
      </c>
      <c r="P593" s="11">
        <f>+(((Table1[[#This Row],[launched_at]]/60)/60)/24)+DATE(1970,1,1)</f>
        <v>41994.25</v>
      </c>
      <c r="Q593" s="11">
        <f>+(((Table1[[#This Row],[deadline]]/60)/60)/24)+DATE(1970,1,1)</f>
        <v>42005.25</v>
      </c>
      <c r="R593" t="b">
        <v>0</v>
      </c>
      <c r="S593" t="b">
        <v>0</v>
      </c>
      <c r="T593" t="s">
        <v>133</v>
      </c>
      <c r="U593" t="str">
        <f>+LEFT(Table1[[#This Row],[category &amp; sub-category]],FIND("/",Table1[[#This Row],[category &amp; sub-category]])-1)</f>
        <v>publishing</v>
      </c>
      <c r="V593" t="str">
        <f>+RIGHT(Table1[[#This Row],[category &amp; sub-category]],LEN(Table1[[#This Row],[category &amp; sub-category]])-SEARCH("/",Table1[[#This Row],[category &amp; sub-category]]))</f>
        <v>radio &amp; podcasts</v>
      </c>
    </row>
    <row r="594" spans="2:22" ht="15.75" customHeight="1" x14ac:dyDescent="0.25">
      <c r="B594">
        <v>591</v>
      </c>
      <c r="C594" t="s">
        <v>1224</v>
      </c>
      <c r="D594" s="3" t="s">
        <v>1225</v>
      </c>
      <c r="E594" s="6">
        <v>600</v>
      </c>
      <c r="F594" s="6">
        <v>6226</v>
      </c>
      <c r="G594" s="17">
        <f>ROUND(Table1[[#This Row],[pledged]]/Table1[[#This Row],[goal]]*100,2)</f>
        <v>1037.67</v>
      </c>
      <c r="H594" s="5">
        <f>+Table1[[#This Row],[pledged]]/Table1[[#This Row],[goal]]</f>
        <v>10.376666666666667</v>
      </c>
      <c r="I594" t="s">
        <v>20</v>
      </c>
      <c r="J594">
        <v>102</v>
      </c>
      <c r="K594" s="8">
        <f>IFERROR(Table1[[#This Row],[pledged]]/Table1[[#This Row],[backers_count]],"NA")</f>
        <v>61.03921568627451</v>
      </c>
      <c r="L594" t="s">
        <v>21</v>
      </c>
      <c r="M594" t="s">
        <v>22</v>
      </c>
      <c r="N594">
        <v>1279083600</v>
      </c>
      <c r="O594">
        <v>1279947600</v>
      </c>
      <c r="P594" s="11">
        <f>+(((Table1[[#This Row],[launched_at]]/60)/60)/24)+DATE(1970,1,1)</f>
        <v>40373.208333333336</v>
      </c>
      <c r="Q594" s="11">
        <f>+(((Table1[[#This Row],[deadline]]/60)/60)/24)+DATE(1970,1,1)</f>
        <v>40383.208333333336</v>
      </c>
      <c r="R594" t="b">
        <v>0</v>
      </c>
      <c r="S594" t="b">
        <v>0</v>
      </c>
      <c r="T594" t="s">
        <v>89</v>
      </c>
      <c r="U594" t="str">
        <f>+LEFT(Table1[[#This Row],[category &amp; sub-category]],FIND("/",Table1[[#This Row],[category &amp; sub-category]])-1)</f>
        <v>games</v>
      </c>
      <c r="V594" t="str">
        <f>+RIGHT(Table1[[#This Row],[category &amp; sub-category]],LEN(Table1[[#This Row],[category &amp; sub-category]])-SEARCH("/",Table1[[#This Row],[category &amp; sub-category]]))</f>
        <v>video games</v>
      </c>
    </row>
    <row r="595" spans="2:22" ht="15.75" customHeight="1" x14ac:dyDescent="0.25">
      <c r="B595">
        <v>592</v>
      </c>
      <c r="C595" t="s">
        <v>1226</v>
      </c>
      <c r="D595" s="3" t="s">
        <v>1227</v>
      </c>
      <c r="E595" s="6">
        <v>156800</v>
      </c>
      <c r="F595" s="6">
        <v>20243</v>
      </c>
      <c r="G595" s="17">
        <f>ROUND(Table1[[#This Row],[pledged]]/Table1[[#This Row],[goal]]*100,2)</f>
        <v>12.91</v>
      </c>
      <c r="H595" s="5">
        <f>+Table1[[#This Row],[pledged]]/Table1[[#This Row],[goal]]</f>
        <v>0.12910076530612244</v>
      </c>
      <c r="I595" t="s">
        <v>14</v>
      </c>
      <c r="J595">
        <v>253</v>
      </c>
      <c r="K595" s="8">
        <f>IFERROR(Table1[[#This Row],[pledged]]/Table1[[#This Row],[backers_count]],"NA")</f>
        <v>80.011857707509876</v>
      </c>
      <c r="L595" t="s">
        <v>21</v>
      </c>
      <c r="M595" t="s">
        <v>22</v>
      </c>
      <c r="N595">
        <v>1401426000</v>
      </c>
      <c r="O595">
        <v>1402203600</v>
      </c>
      <c r="P595" s="11">
        <f>+(((Table1[[#This Row],[launched_at]]/60)/60)/24)+DATE(1970,1,1)</f>
        <v>41789.208333333336</v>
      </c>
      <c r="Q595" s="11">
        <f>+(((Table1[[#This Row],[deadline]]/60)/60)/24)+DATE(1970,1,1)</f>
        <v>41798.208333333336</v>
      </c>
      <c r="R595" t="b">
        <v>0</v>
      </c>
      <c r="S595" t="b">
        <v>0</v>
      </c>
      <c r="T595" t="s">
        <v>33</v>
      </c>
      <c r="U595" t="str">
        <f>+LEFT(Table1[[#This Row],[category &amp; sub-category]],FIND("/",Table1[[#This Row],[category &amp; sub-category]])-1)</f>
        <v>theater</v>
      </c>
      <c r="V595" t="str">
        <f>+RIGHT(Table1[[#This Row],[category &amp; sub-category]],LEN(Table1[[#This Row],[category &amp; sub-category]])-SEARCH("/",Table1[[#This Row],[category &amp; sub-category]]))</f>
        <v>plays</v>
      </c>
    </row>
    <row r="596" spans="2:22" ht="15.75" customHeight="1" x14ac:dyDescent="0.25">
      <c r="B596">
        <v>593</v>
      </c>
      <c r="C596" t="s">
        <v>1228</v>
      </c>
      <c r="D596" s="3" t="s">
        <v>1229</v>
      </c>
      <c r="E596" s="6">
        <v>121600</v>
      </c>
      <c r="F596" s="6">
        <v>188288</v>
      </c>
      <c r="G596" s="17">
        <f>ROUND(Table1[[#This Row],[pledged]]/Table1[[#This Row],[goal]]*100,2)</f>
        <v>154.84</v>
      </c>
      <c r="H596" s="5">
        <f>+Table1[[#This Row],[pledged]]/Table1[[#This Row],[goal]]</f>
        <v>1.5484210526315789</v>
      </c>
      <c r="I596" t="s">
        <v>20</v>
      </c>
      <c r="J596">
        <v>4006</v>
      </c>
      <c r="K596" s="8">
        <f>IFERROR(Table1[[#This Row],[pledged]]/Table1[[#This Row],[backers_count]],"NA")</f>
        <v>47.001497753369947</v>
      </c>
      <c r="L596" t="s">
        <v>21</v>
      </c>
      <c r="M596" t="s">
        <v>22</v>
      </c>
      <c r="N596">
        <v>1395810000</v>
      </c>
      <c r="O596">
        <v>1396933200</v>
      </c>
      <c r="P596" s="11">
        <f>+(((Table1[[#This Row],[launched_at]]/60)/60)/24)+DATE(1970,1,1)</f>
        <v>41724.208333333336</v>
      </c>
      <c r="Q596" s="11">
        <f>+(((Table1[[#This Row],[deadline]]/60)/60)/24)+DATE(1970,1,1)</f>
        <v>41737.208333333336</v>
      </c>
      <c r="R596" t="b">
        <v>0</v>
      </c>
      <c r="S596" t="b">
        <v>0</v>
      </c>
      <c r="T596" t="s">
        <v>71</v>
      </c>
      <c r="U596" t="str">
        <f>+LEFT(Table1[[#This Row],[category &amp; sub-category]],FIND("/",Table1[[#This Row],[category &amp; sub-category]])-1)</f>
        <v>film &amp; video</v>
      </c>
      <c r="V596" t="str">
        <f>+RIGHT(Table1[[#This Row],[category &amp; sub-category]],LEN(Table1[[#This Row],[category &amp; sub-category]])-SEARCH("/",Table1[[#This Row],[category &amp; sub-category]]))</f>
        <v>animation</v>
      </c>
    </row>
    <row r="597" spans="2:22" ht="15.75" customHeight="1" x14ac:dyDescent="0.25">
      <c r="B597">
        <v>594</v>
      </c>
      <c r="C597" t="s">
        <v>1230</v>
      </c>
      <c r="D597" s="3" t="s">
        <v>1231</v>
      </c>
      <c r="E597" s="6">
        <v>157300</v>
      </c>
      <c r="F597" s="6">
        <v>11167</v>
      </c>
      <c r="G597" s="17">
        <f>ROUND(Table1[[#This Row],[pledged]]/Table1[[#This Row],[goal]]*100,2)</f>
        <v>7.1</v>
      </c>
      <c r="H597" s="5">
        <f>+Table1[[#This Row],[pledged]]/Table1[[#This Row],[goal]]</f>
        <v>7.0991735537190084E-2</v>
      </c>
      <c r="I597" t="s">
        <v>14</v>
      </c>
      <c r="J597">
        <v>157</v>
      </c>
      <c r="K597" s="8">
        <f>IFERROR(Table1[[#This Row],[pledged]]/Table1[[#This Row],[backers_count]],"NA")</f>
        <v>71.127388535031841</v>
      </c>
      <c r="L597" t="s">
        <v>21</v>
      </c>
      <c r="M597" t="s">
        <v>22</v>
      </c>
      <c r="N597">
        <v>1467003600</v>
      </c>
      <c r="O597">
        <v>1467262800</v>
      </c>
      <c r="P597" s="11">
        <f>+(((Table1[[#This Row],[launched_at]]/60)/60)/24)+DATE(1970,1,1)</f>
        <v>42548.208333333328</v>
      </c>
      <c r="Q597" s="11">
        <f>+(((Table1[[#This Row],[deadline]]/60)/60)/24)+DATE(1970,1,1)</f>
        <v>42551.208333333328</v>
      </c>
      <c r="R597" t="b">
        <v>0</v>
      </c>
      <c r="S597" t="b">
        <v>1</v>
      </c>
      <c r="T597" t="s">
        <v>33</v>
      </c>
      <c r="U597" t="str">
        <f>+LEFT(Table1[[#This Row],[category &amp; sub-category]],FIND("/",Table1[[#This Row],[category &amp; sub-category]])-1)</f>
        <v>theater</v>
      </c>
      <c r="V597" t="str">
        <f>+RIGHT(Table1[[#This Row],[category &amp; sub-category]],LEN(Table1[[#This Row],[category &amp; sub-category]])-SEARCH("/",Table1[[#This Row],[category &amp; sub-category]]))</f>
        <v>plays</v>
      </c>
    </row>
    <row r="598" spans="2:22" ht="15.75" customHeight="1" x14ac:dyDescent="0.25">
      <c r="B598">
        <v>595</v>
      </c>
      <c r="C598" t="s">
        <v>1232</v>
      </c>
      <c r="D598" s="3" t="s">
        <v>1233</v>
      </c>
      <c r="E598" s="6">
        <v>70300</v>
      </c>
      <c r="F598" s="6">
        <v>146595</v>
      </c>
      <c r="G598" s="17">
        <f>ROUND(Table1[[#This Row],[pledged]]/Table1[[#This Row],[goal]]*100,2)</f>
        <v>208.53</v>
      </c>
      <c r="H598" s="5">
        <f>+Table1[[#This Row],[pledged]]/Table1[[#This Row],[goal]]</f>
        <v>2.0852773826458035</v>
      </c>
      <c r="I598" t="s">
        <v>20</v>
      </c>
      <c r="J598">
        <v>1629</v>
      </c>
      <c r="K598" s="8">
        <f>IFERROR(Table1[[#This Row],[pledged]]/Table1[[#This Row],[backers_count]],"NA")</f>
        <v>89.99079189686924</v>
      </c>
      <c r="L598" t="s">
        <v>21</v>
      </c>
      <c r="M598" t="s">
        <v>22</v>
      </c>
      <c r="N598">
        <v>1268715600</v>
      </c>
      <c r="O598">
        <v>1270530000</v>
      </c>
      <c r="P598" s="11">
        <f>+(((Table1[[#This Row],[launched_at]]/60)/60)/24)+DATE(1970,1,1)</f>
        <v>40253.208333333336</v>
      </c>
      <c r="Q598" s="11">
        <f>+(((Table1[[#This Row],[deadline]]/60)/60)/24)+DATE(1970,1,1)</f>
        <v>40274.208333333336</v>
      </c>
      <c r="R598" t="b">
        <v>0</v>
      </c>
      <c r="S598" t="b">
        <v>1</v>
      </c>
      <c r="T598" t="s">
        <v>33</v>
      </c>
      <c r="U598" t="str">
        <f>+LEFT(Table1[[#This Row],[category &amp; sub-category]],FIND("/",Table1[[#This Row],[category &amp; sub-category]])-1)</f>
        <v>theater</v>
      </c>
      <c r="V598" t="str">
        <f>+RIGHT(Table1[[#This Row],[category &amp; sub-category]],LEN(Table1[[#This Row],[category &amp; sub-category]])-SEARCH("/",Table1[[#This Row],[category &amp; sub-category]]))</f>
        <v>plays</v>
      </c>
    </row>
    <row r="599" spans="2:22" ht="15.75" customHeight="1" x14ac:dyDescent="0.25">
      <c r="B599">
        <v>596</v>
      </c>
      <c r="C599" t="s">
        <v>1234</v>
      </c>
      <c r="D599" s="3" t="s">
        <v>1235</v>
      </c>
      <c r="E599" s="6">
        <v>7900</v>
      </c>
      <c r="F599" s="6">
        <v>7875</v>
      </c>
      <c r="G599" s="17">
        <f>ROUND(Table1[[#This Row],[pledged]]/Table1[[#This Row],[goal]]*100,2)</f>
        <v>99.68</v>
      </c>
      <c r="H599" s="5">
        <f>+Table1[[#This Row],[pledged]]/Table1[[#This Row],[goal]]</f>
        <v>0.99683544303797467</v>
      </c>
      <c r="I599" t="s">
        <v>14</v>
      </c>
      <c r="J599">
        <v>183</v>
      </c>
      <c r="K599" s="8">
        <f>IFERROR(Table1[[#This Row],[pledged]]/Table1[[#This Row],[backers_count]],"NA")</f>
        <v>43.032786885245905</v>
      </c>
      <c r="L599" t="s">
        <v>21</v>
      </c>
      <c r="M599" t="s">
        <v>22</v>
      </c>
      <c r="N599">
        <v>1457157600</v>
      </c>
      <c r="O599">
        <v>1457762400</v>
      </c>
      <c r="P599" s="11">
        <f>+(((Table1[[#This Row],[launched_at]]/60)/60)/24)+DATE(1970,1,1)</f>
        <v>42434.25</v>
      </c>
      <c r="Q599" s="11">
        <f>+(((Table1[[#This Row],[deadline]]/60)/60)/24)+DATE(1970,1,1)</f>
        <v>42441.25</v>
      </c>
      <c r="R599" t="b">
        <v>0</v>
      </c>
      <c r="S599" t="b">
        <v>1</v>
      </c>
      <c r="T599" t="s">
        <v>53</v>
      </c>
      <c r="U599" t="str">
        <f>+LEFT(Table1[[#This Row],[category &amp; sub-category]],FIND("/",Table1[[#This Row],[category &amp; sub-category]])-1)</f>
        <v>film &amp; video</v>
      </c>
      <c r="V599" t="str">
        <f>+RIGHT(Table1[[#This Row],[category &amp; sub-category]],LEN(Table1[[#This Row],[category &amp; sub-category]])-SEARCH("/",Table1[[#This Row],[category &amp; sub-category]]))</f>
        <v>drama</v>
      </c>
    </row>
    <row r="600" spans="2:22" ht="15.75" customHeight="1" x14ac:dyDescent="0.25">
      <c r="B600">
        <v>597</v>
      </c>
      <c r="C600" t="s">
        <v>1236</v>
      </c>
      <c r="D600" s="3" t="s">
        <v>1237</v>
      </c>
      <c r="E600" s="6">
        <v>73800</v>
      </c>
      <c r="F600" s="6">
        <v>148779</v>
      </c>
      <c r="G600" s="17">
        <f>ROUND(Table1[[#This Row],[pledged]]/Table1[[#This Row],[goal]]*100,2)</f>
        <v>201.6</v>
      </c>
      <c r="H600" s="5">
        <f>+Table1[[#This Row],[pledged]]/Table1[[#This Row],[goal]]</f>
        <v>2.0159756097560977</v>
      </c>
      <c r="I600" t="s">
        <v>20</v>
      </c>
      <c r="J600">
        <v>2188</v>
      </c>
      <c r="K600" s="8">
        <f>IFERROR(Table1[[#This Row],[pledged]]/Table1[[#This Row],[backers_count]],"NA")</f>
        <v>67.997714808043881</v>
      </c>
      <c r="L600" t="s">
        <v>21</v>
      </c>
      <c r="M600" t="s">
        <v>22</v>
      </c>
      <c r="N600">
        <v>1573970400</v>
      </c>
      <c r="O600">
        <v>1575525600</v>
      </c>
      <c r="P600" s="11">
        <f>+(((Table1[[#This Row],[launched_at]]/60)/60)/24)+DATE(1970,1,1)</f>
        <v>43786.25</v>
      </c>
      <c r="Q600" s="11">
        <f>+(((Table1[[#This Row],[deadline]]/60)/60)/24)+DATE(1970,1,1)</f>
        <v>43804.25</v>
      </c>
      <c r="R600" t="b">
        <v>0</v>
      </c>
      <c r="S600" t="b">
        <v>0</v>
      </c>
      <c r="T600" t="s">
        <v>33</v>
      </c>
      <c r="U600" t="str">
        <f>+LEFT(Table1[[#This Row],[category &amp; sub-category]],FIND("/",Table1[[#This Row],[category &amp; sub-category]])-1)</f>
        <v>theater</v>
      </c>
      <c r="V600" t="str">
        <f>+RIGHT(Table1[[#This Row],[category &amp; sub-category]],LEN(Table1[[#This Row],[category &amp; sub-category]])-SEARCH("/",Table1[[#This Row],[category &amp; sub-category]]))</f>
        <v>plays</v>
      </c>
    </row>
    <row r="601" spans="2:22" ht="15.75" customHeight="1" x14ac:dyDescent="0.25">
      <c r="B601">
        <v>598</v>
      </c>
      <c r="C601" t="s">
        <v>1238</v>
      </c>
      <c r="D601" s="3" t="s">
        <v>1239</v>
      </c>
      <c r="E601" s="6">
        <v>108500</v>
      </c>
      <c r="F601" s="6">
        <v>175868</v>
      </c>
      <c r="G601" s="17">
        <f>ROUND(Table1[[#This Row],[pledged]]/Table1[[#This Row],[goal]]*100,2)</f>
        <v>162.09</v>
      </c>
      <c r="H601" s="5">
        <f>+Table1[[#This Row],[pledged]]/Table1[[#This Row],[goal]]</f>
        <v>1.6209032258064515</v>
      </c>
      <c r="I601" t="s">
        <v>20</v>
      </c>
      <c r="J601">
        <v>2409</v>
      </c>
      <c r="K601" s="8">
        <f>IFERROR(Table1[[#This Row],[pledged]]/Table1[[#This Row],[backers_count]],"NA")</f>
        <v>73.004566210045667</v>
      </c>
      <c r="L601" t="s">
        <v>107</v>
      </c>
      <c r="M601" t="s">
        <v>108</v>
      </c>
      <c r="N601">
        <v>1276578000</v>
      </c>
      <c r="O601">
        <v>1279083600</v>
      </c>
      <c r="P601" s="11">
        <f>+(((Table1[[#This Row],[launched_at]]/60)/60)/24)+DATE(1970,1,1)</f>
        <v>40344.208333333336</v>
      </c>
      <c r="Q601" s="11">
        <f>+(((Table1[[#This Row],[deadline]]/60)/60)/24)+DATE(1970,1,1)</f>
        <v>40373.208333333336</v>
      </c>
      <c r="R601" t="b">
        <v>0</v>
      </c>
      <c r="S601" t="b">
        <v>0</v>
      </c>
      <c r="T601" t="s">
        <v>23</v>
      </c>
      <c r="U601" t="str">
        <f>+LEFT(Table1[[#This Row],[category &amp; sub-category]],FIND("/",Table1[[#This Row],[category &amp; sub-category]])-1)</f>
        <v>music</v>
      </c>
      <c r="V601" t="str">
        <f>+RIGHT(Table1[[#This Row],[category &amp; sub-category]],LEN(Table1[[#This Row],[category &amp; sub-category]])-SEARCH("/",Table1[[#This Row],[category &amp; sub-category]]))</f>
        <v>rock</v>
      </c>
    </row>
    <row r="602" spans="2:22" ht="15.75" customHeight="1" x14ac:dyDescent="0.25">
      <c r="B602">
        <v>599</v>
      </c>
      <c r="C602" t="s">
        <v>1240</v>
      </c>
      <c r="D602" s="3" t="s">
        <v>1241</v>
      </c>
      <c r="E602" s="6">
        <v>140300</v>
      </c>
      <c r="F602" s="6">
        <v>5112</v>
      </c>
      <c r="G602" s="17">
        <f>ROUND(Table1[[#This Row],[pledged]]/Table1[[#This Row],[goal]]*100,2)</f>
        <v>3.64</v>
      </c>
      <c r="H602" s="5">
        <f>+Table1[[#This Row],[pledged]]/Table1[[#This Row],[goal]]</f>
        <v>3.6436208125445471E-2</v>
      </c>
      <c r="I602" t="s">
        <v>14</v>
      </c>
      <c r="J602">
        <v>82</v>
      </c>
      <c r="K602" s="8">
        <f>IFERROR(Table1[[#This Row],[pledged]]/Table1[[#This Row],[backers_count]],"NA")</f>
        <v>62.341463414634148</v>
      </c>
      <c r="L602" t="s">
        <v>36</v>
      </c>
      <c r="M602" t="s">
        <v>37</v>
      </c>
      <c r="N602">
        <v>1423720800</v>
      </c>
      <c r="O602">
        <v>1424412000</v>
      </c>
      <c r="P602" s="11">
        <f>+(((Table1[[#This Row],[launched_at]]/60)/60)/24)+DATE(1970,1,1)</f>
        <v>42047.25</v>
      </c>
      <c r="Q602" s="11">
        <f>+(((Table1[[#This Row],[deadline]]/60)/60)/24)+DATE(1970,1,1)</f>
        <v>42055.25</v>
      </c>
      <c r="R602" t="b">
        <v>0</v>
      </c>
      <c r="S602" t="b">
        <v>0</v>
      </c>
      <c r="T602" t="s">
        <v>42</v>
      </c>
      <c r="U602" t="str">
        <f>+LEFT(Table1[[#This Row],[category &amp; sub-category]],FIND("/",Table1[[#This Row],[category &amp; sub-category]])-1)</f>
        <v>film &amp; video</v>
      </c>
      <c r="V602" t="str">
        <f>+RIGHT(Table1[[#This Row],[category &amp; sub-category]],LEN(Table1[[#This Row],[category &amp; sub-category]])-SEARCH("/",Table1[[#This Row],[category &amp; sub-category]]))</f>
        <v>documentary</v>
      </c>
    </row>
    <row r="603" spans="2:22" ht="15.75" customHeight="1" x14ac:dyDescent="0.25">
      <c r="B603">
        <v>600</v>
      </c>
      <c r="C603" t="s">
        <v>1242</v>
      </c>
      <c r="D603" s="3" t="s">
        <v>1243</v>
      </c>
      <c r="E603" s="6">
        <v>100</v>
      </c>
      <c r="F603" s="6">
        <v>5</v>
      </c>
      <c r="G603" s="17">
        <f>ROUND(Table1[[#This Row],[pledged]]/Table1[[#This Row],[goal]]*100,2)</f>
        <v>5</v>
      </c>
      <c r="H603" s="5">
        <f>+Table1[[#This Row],[pledged]]/Table1[[#This Row],[goal]]</f>
        <v>0.05</v>
      </c>
      <c r="I603" t="s">
        <v>14</v>
      </c>
      <c r="J603">
        <v>1</v>
      </c>
      <c r="K603" s="8">
        <f>IFERROR(Table1[[#This Row],[pledged]]/Table1[[#This Row],[backers_count]],"NA")</f>
        <v>5</v>
      </c>
      <c r="L603" t="s">
        <v>40</v>
      </c>
      <c r="M603" t="s">
        <v>41</v>
      </c>
      <c r="N603">
        <v>1375160400</v>
      </c>
      <c r="O603">
        <v>1376197200</v>
      </c>
      <c r="P603" s="11">
        <f>+(((Table1[[#This Row],[launched_at]]/60)/60)/24)+DATE(1970,1,1)</f>
        <v>41485.208333333336</v>
      </c>
      <c r="Q603" s="11">
        <f>+(((Table1[[#This Row],[deadline]]/60)/60)/24)+DATE(1970,1,1)</f>
        <v>41497.208333333336</v>
      </c>
      <c r="R603" t="b">
        <v>0</v>
      </c>
      <c r="S603" t="b">
        <v>0</v>
      </c>
      <c r="T603" t="s">
        <v>17</v>
      </c>
      <c r="U603" t="str">
        <f>+LEFT(Table1[[#This Row],[category &amp; sub-category]],FIND("/",Table1[[#This Row],[category &amp; sub-category]])-1)</f>
        <v>food</v>
      </c>
      <c r="V603" t="str">
        <f>+RIGHT(Table1[[#This Row],[category &amp; sub-category]],LEN(Table1[[#This Row],[category &amp; sub-category]])-SEARCH("/",Table1[[#This Row],[category &amp; sub-category]]))</f>
        <v>food trucks</v>
      </c>
    </row>
    <row r="604" spans="2:22" ht="15.75" customHeight="1" x14ac:dyDescent="0.25">
      <c r="B604">
        <v>601</v>
      </c>
      <c r="C604" t="s">
        <v>1244</v>
      </c>
      <c r="D604" s="3" t="s">
        <v>1245</v>
      </c>
      <c r="E604" s="6">
        <v>6300</v>
      </c>
      <c r="F604" s="6">
        <v>13018</v>
      </c>
      <c r="G604" s="17">
        <f>ROUND(Table1[[#This Row],[pledged]]/Table1[[#This Row],[goal]]*100,2)</f>
        <v>206.63</v>
      </c>
      <c r="H604" s="5">
        <f>+Table1[[#This Row],[pledged]]/Table1[[#This Row],[goal]]</f>
        <v>2.0663492063492064</v>
      </c>
      <c r="I604" t="s">
        <v>20</v>
      </c>
      <c r="J604">
        <v>194</v>
      </c>
      <c r="K604" s="8">
        <f>IFERROR(Table1[[#This Row],[pledged]]/Table1[[#This Row],[backers_count]],"NA")</f>
        <v>67.103092783505161</v>
      </c>
      <c r="L604" t="s">
        <v>21</v>
      </c>
      <c r="M604" t="s">
        <v>22</v>
      </c>
      <c r="N604">
        <v>1401426000</v>
      </c>
      <c r="O604">
        <v>1402894800</v>
      </c>
      <c r="P604" s="11">
        <f>+(((Table1[[#This Row],[launched_at]]/60)/60)/24)+DATE(1970,1,1)</f>
        <v>41789.208333333336</v>
      </c>
      <c r="Q604" s="11">
        <f>+(((Table1[[#This Row],[deadline]]/60)/60)/24)+DATE(1970,1,1)</f>
        <v>41806.208333333336</v>
      </c>
      <c r="R604" t="b">
        <v>1</v>
      </c>
      <c r="S604" t="b">
        <v>0</v>
      </c>
      <c r="T604" t="s">
        <v>65</v>
      </c>
      <c r="U604" t="str">
        <f>+LEFT(Table1[[#This Row],[category &amp; sub-category]],FIND("/",Table1[[#This Row],[category &amp; sub-category]])-1)</f>
        <v>technology</v>
      </c>
      <c r="V604" t="str">
        <f>+RIGHT(Table1[[#This Row],[category &amp; sub-category]],LEN(Table1[[#This Row],[category &amp; sub-category]])-SEARCH("/",Table1[[#This Row],[category &amp; sub-category]]))</f>
        <v>wearables</v>
      </c>
    </row>
    <row r="605" spans="2:22" ht="15.75" customHeight="1" x14ac:dyDescent="0.25">
      <c r="B605">
        <v>602</v>
      </c>
      <c r="C605" t="s">
        <v>1246</v>
      </c>
      <c r="D605" s="3" t="s">
        <v>1247</v>
      </c>
      <c r="E605" s="6">
        <v>71100</v>
      </c>
      <c r="F605" s="6">
        <v>91176</v>
      </c>
      <c r="G605" s="17">
        <f>ROUND(Table1[[#This Row],[pledged]]/Table1[[#This Row],[goal]]*100,2)</f>
        <v>128.24</v>
      </c>
      <c r="H605" s="5">
        <f>+Table1[[#This Row],[pledged]]/Table1[[#This Row],[goal]]</f>
        <v>1.2823628691983122</v>
      </c>
      <c r="I605" t="s">
        <v>20</v>
      </c>
      <c r="J605">
        <v>1140</v>
      </c>
      <c r="K605" s="8">
        <f>IFERROR(Table1[[#This Row],[pledged]]/Table1[[#This Row],[backers_count]],"NA")</f>
        <v>79.978947368421046</v>
      </c>
      <c r="L605" t="s">
        <v>21</v>
      </c>
      <c r="M605" t="s">
        <v>22</v>
      </c>
      <c r="N605">
        <v>1433480400</v>
      </c>
      <c r="O605">
        <v>1434430800</v>
      </c>
      <c r="P605" s="11">
        <f>+(((Table1[[#This Row],[launched_at]]/60)/60)/24)+DATE(1970,1,1)</f>
        <v>42160.208333333328</v>
      </c>
      <c r="Q605" s="11">
        <f>+(((Table1[[#This Row],[deadline]]/60)/60)/24)+DATE(1970,1,1)</f>
        <v>42171.208333333328</v>
      </c>
      <c r="R605" t="b">
        <v>0</v>
      </c>
      <c r="S605" t="b">
        <v>0</v>
      </c>
      <c r="T605" t="s">
        <v>33</v>
      </c>
      <c r="U605" t="str">
        <f>+LEFT(Table1[[#This Row],[category &amp; sub-category]],FIND("/",Table1[[#This Row],[category &amp; sub-category]])-1)</f>
        <v>theater</v>
      </c>
      <c r="V605" t="str">
        <f>+RIGHT(Table1[[#This Row],[category &amp; sub-category]],LEN(Table1[[#This Row],[category &amp; sub-category]])-SEARCH("/",Table1[[#This Row],[category &amp; sub-category]]))</f>
        <v>plays</v>
      </c>
    </row>
    <row r="606" spans="2:22" ht="15.75" customHeight="1" x14ac:dyDescent="0.25">
      <c r="B606">
        <v>603</v>
      </c>
      <c r="C606" t="s">
        <v>1248</v>
      </c>
      <c r="D606" s="3" t="s">
        <v>1249</v>
      </c>
      <c r="E606" s="6">
        <v>5300</v>
      </c>
      <c r="F606" s="6">
        <v>6342</v>
      </c>
      <c r="G606" s="17">
        <f>ROUND(Table1[[#This Row],[pledged]]/Table1[[#This Row],[goal]]*100,2)</f>
        <v>119.66</v>
      </c>
      <c r="H606" s="5">
        <f>+Table1[[#This Row],[pledged]]/Table1[[#This Row],[goal]]</f>
        <v>1.1966037735849056</v>
      </c>
      <c r="I606" t="s">
        <v>20</v>
      </c>
      <c r="J606">
        <v>102</v>
      </c>
      <c r="K606" s="8">
        <f>IFERROR(Table1[[#This Row],[pledged]]/Table1[[#This Row],[backers_count]],"NA")</f>
        <v>62.176470588235297</v>
      </c>
      <c r="L606" t="s">
        <v>21</v>
      </c>
      <c r="M606" t="s">
        <v>22</v>
      </c>
      <c r="N606">
        <v>1555563600</v>
      </c>
      <c r="O606">
        <v>1557896400</v>
      </c>
      <c r="P606" s="11">
        <f>+(((Table1[[#This Row],[launched_at]]/60)/60)/24)+DATE(1970,1,1)</f>
        <v>43573.208333333328</v>
      </c>
      <c r="Q606" s="11">
        <f>+(((Table1[[#This Row],[deadline]]/60)/60)/24)+DATE(1970,1,1)</f>
        <v>43600.208333333328</v>
      </c>
      <c r="R606" t="b">
        <v>0</v>
      </c>
      <c r="S606" t="b">
        <v>0</v>
      </c>
      <c r="T606" t="s">
        <v>33</v>
      </c>
      <c r="U606" t="str">
        <f>+LEFT(Table1[[#This Row],[category &amp; sub-category]],FIND("/",Table1[[#This Row],[category &amp; sub-category]])-1)</f>
        <v>theater</v>
      </c>
      <c r="V606" t="str">
        <f>+RIGHT(Table1[[#This Row],[category &amp; sub-category]],LEN(Table1[[#This Row],[category &amp; sub-category]])-SEARCH("/",Table1[[#This Row],[category &amp; sub-category]]))</f>
        <v>plays</v>
      </c>
    </row>
    <row r="607" spans="2:22" ht="15.75" customHeight="1" x14ac:dyDescent="0.25">
      <c r="B607">
        <v>604</v>
      </c>
      <c r="C607" t="s">
        <v>1250</v>
      </c>
      <c r="D607" s="3" t="s">
        <v>1251</v>
      </c>
      <c r="E607" s="6">
        <v>88700</v>
      </c>
      <c r="F607" s="6">
        <v>151438</v>
      </c>
      <c r="G607" s="17">
        <f>ROUND(Table1[[#This Row],[pledged]]/Table1[[#This Row],[goal]]*100,2)</f>
        <v>170.73</v>
      </c>
      <c r="H607" s="5">
        <f>+Table1[[#This Row],[pledged]]/Table1[[#This Row],[goal]]</f>
        <v>1.7073055242390078</v>
      </c>
      <c r="I607" t="s">
        <v>20</v>
      </c>
      <c r="J607">
        <v>2857</v>
      </c>
      <c r="K607" s="8">
        <f>IFERROR(Table1[[#This Row],[pledged]]/Table1[[#This Row],[backers_count]],"NA")</f>
        <v>53.005950297514879</v>
      </c>
      <c r="L607" t="s">
        <v>21</v>
      </c>
      <c r="M607" t="s">
        <v>22</v>
      </c>
      <c r="N607">
        <v>1295676000</v>
      </c>
      <c r="O607">
        <v>1297490400</v>
      </c>
      <c r="P607" s="11">
        <f>+(((Table1[[#This Row],[launched_at]]/60)/60)/24)+DATE(1970,1,1)</f>
        <v>40565.25</v>
      </c>
      <c r="Q607" s="11">
        <f>+(((Table1[[#This Row],[deadline]]/60)/60)/24)+DATE(1970,1,1)</f>
        <v>40586.25</v>
      </c>
      <c r="R607" t="b">
        <v>0</v>
      </c>
      <c r="S607" t="b">
        <v>0</v>
      </c>
      <c r="T607" t="s">
        <v>33</v>
      </c>
      <c r="U607" t="str">
        <f>+LEFT(Table1[[#This Row],[category &amp; sub-category]],FIND("/",Table1[[#This Row],[category &amp; sub-category]])-1)</f>
        <v>theater</v>
      </c>
      <c r="V607" t="str">
        <f>+RIGHT(Table1[[#This Row],[category &amp; sub-category]],LEN(Table1[[#This Row],[category &amp; sub-category]])-SEARCH("/",Table1[[#This Row],[category &amp; sub-category]]))</f>
        <v>plays</v>
      </c>
    </row>
    <row r="608" spans="2:22" ht="15.75" customHeight="1" x14ac:dyDescent="0.25">
      <c r="B608">
        <v>605</v>
      </c>
      <c r="C608" t="s">
        <v>1252</v>
      </c>
      <c r="D608" s="3" t="s">
        <v>1253</v>
      </c>
      <c r="E608" s="6">
        <v>3300</v>
      </c>
      <c r="F608" s="6">
        <v>6178</v>
      </c>
      <c r="G608" s="17">
        <f>ROUND(Table1[[#This Row],[pledged]]/Table1[[#This Row],[goal]]*100,2)</f>
        <v>187.21</v>
      </c>
      <c r="H608" s="5">
        <f>+Table1[[#This Row],[pledged]]/Table1[[#This Row],[goal]]</f>
        <v>1.8721212121212121</v>
      </c>
      <c r="I608" t="s">
        <v>20</v>
      </c>
      <c r="J608">
        <v>107</v>
      </c>
      <c r="K608" s="8">
        <f>IFERROR(Table1[[#This Row],[pledged]]/Table1[[#This Row],[backers_count]],"NA")</f>
        <v>57.738317757009348</v>
      </c>
      <c r="L608" t="s">
        <v>21</v>
      </c>
      <c r="M608" t="s">
        <v>22</v>
      </c>
      <c r="N608">
        <v>1443848400</v>
      </c>
      <c r="O608">
        <v>1447394400</v>
      </c>
      <c r="P608" s="11">
        <f>+(((Table1[[#This Row],[launched_at]]/60)/60)/24)+DATE(1970,1,1)</f>
        <v>42280.208333333328</v>
      </c>
      <c r="Q608" s="11">
        <f>+(((Table1[[#This Row],[deadline]]/60)/60)/24)+DATE(1970,1,1)</f>
        <v>42321.25</v>
      </c>
      <c r="R608" t="b">
        <v>0</v>
      </c>
      <c r="S608" t="b">
        <v>0</v>
      </c>
      <c r="T608" t="s">
        <v>68</v>
      </c>
      <c r="U608" t="str">
        <f>+LEFT(Table1[[#This Row],[category &amp; sub-category]],FIND("/",Table1[[#This Row],[category &amp; sub-category]])-1)</f>
        <v>publishing</v>
      </c>
      <c r="V608" t="str">
        <f>+RIGHT(Table1[[#This Row],[category &amp; sub-category]],LEN(Table1[[#This Row],[category &amp; sub-category]])-SEARCH("/",Table1[[#This Row],[category &amp; sub-category]]))</f>
        <v>nonfiction</v>
      </c>
    </row>
    <row r="609" spans="2:22" ht="15.75" customHeight="1" x14ac:dyDescent="0.25">
      <c r="B609">
        <v>606</v>
      </c>
      <c r="C609" t="s">
        <v>1254</v>
      </c>
      <c r="D609" s="3" t="s">
        <v>1255</v>
      </c>
      <c r="E609" s="6">
        <v>3400</v>
      </c>
      <c r="F609" s="6">
        <v>6405</v>
      </c>
      <c r="G609" s="17">
        <f>ROUND(Table1[[#This Row],[pledged]]/Table1[[#This Row],[goal]]*100,2)</f>
        <v>188.38</v>
      </c>
      <c r="H609" s="5">
        <f>+Table1[[#This Row],[pledged]]/Table1[[#This Row],[goal]]</f>
        <v>1.8838235294117647</v>
      </c>
      <c r="I609" t="s">
        <v>20</v>
      </c>
      <c r="J609">
        <v>160</v>
      </c>
      <c r="K609" s="8">
        <f>IFERROR(Table1[[#This Row],[pledged]]/Table1[[#This Row],[backers_count]],"NA")</f>
        <v>40.03125</v>
      </c>
      <c r="L609" t="s">
        <v>40</v>
      </c>
      <c r="M609" t="s">
        <v>41</v>
      </c>
      <c r="N609">
        <v>1457330400</v>
      </c>
      <c r="O609">
        <v>1458277200</v>
      </c>
      <c r="P609" s="11">
        <f>+(((Table1[[#This Row],[launched_at]]/60)/60)/24)+DATE(1970,1,1)</f>
        <v>42436.25</v>
      </c>
      <c r="Q609" s="11">
        <f>+(((Table1[[#This Row],[deadline]]/60)/60)/24)+DATE(1970,1,1)</f>
        <v>42447.208333333328</v>
      </c>
      <c r="R609" t="b">
        <v>0</v>
      </c>
      <c r="S609" t="b">
        <v>0</v>
      </c>
      <c r="T609" t="s">
        <v>23</v>
      </c>
      <c r="U609" t="str">
        <f>+LEFT(Table1[[#This Row],[category &amp; sub-category]],FIND("/",Table1[[#This Row],[category &amp; sub-category]])-1)</f>
        <v>music</v>
      </c>
      <c r="V609" t="str">
        <f>+RIGHT(Table1[[#This Row],[category &amp; sub-category]],LEN(Table1[[#This Row],[category &amp; sub-category]])-SEARCH("/",Table1[[#This Row],[category &amp; sub-category]]))</f>
        <v>rock</v>
      </c>
    </row>
    <row r="610" spans="2:22" ht="15.75" customHeight="1" x14ac:dyDescent="0.25">
      <c r="B610">
        <v>607</v>
      </c>
      <c r="C610" t="s">
        <v>1256</v>
      </c>
      <c r="D610" s="3" t="s">
        <v>1257</v>
      </c>
      <c r="E610" s="6">
        <v>137600</v>
      </c>
      <c r="F610" s="6">
        <v>180667</v>
      </c>
      <c r="G610" s="17">
        <f>ROUND(Table1[[#This Row],[pledged]]/Table1[[#This Row],[goal]]*100,2)</f>
        <v>131.30000000000001</v>
      </c>
      <c r="H610" s="5">
        <f>+Table1[[#This Row],[pledged]]/Table1[[#This Row],[goal]]</f>
        <v>1.3129869186046512</v>
      </c>
      <c r="I610" t="s">
        <v>20</v>
      </c>
      <c r="J610">
        <v>2230</v>
      </c>
      <c r="K610" s="8">
        <f>IFERROR(Table1[[#This Row],[pledged]]/Table1[[#This Row],[backers_count]],"NA")</f>
        <v>81.016591928251117</v>
      </c>
      <c r="L610" t="s">
        <v>21</v>
      </c>
      <c r="M610" t="s">
        <v>22</v>
      </c>
      <c r="N610">
        <v>1395550800</v>
      </c>
      <c r="O610">
        <v>1395723600</v>
      </c>
      <c r="P610" s="11">
        <f>+(((Table1[[#This Row],[launched_at]]/60)/60)/24)+DATE(1970,1,1)</f>
        <v>41721.208333333336</v>
      </c>
      <c r="Q610" s="11">
        <f>+(((Table1[[#This Row],[deadline]]/60)/60)/24)+DATE(1970,1,1)</f>
        <v>41723.208333333336</v>
      </c>
      <c r="R610" t="b">
        <v>0</v>
      </c>
      <c r="S610" t="b">
        <v>0</v>
      </c>
      <c r="T610" t="s">
        <v>17</v>
      </c>
      <c r="U610" t="str">
        <f>+LEFT(Table1[[#This Row],[category &amp; sub-category]],FIND("/",Table1[[#This Row],[category &amp; sub-category]])-1)</f>
        <v>food</v>
      </c>
      <c r="V610" t="str">
        <f>+RIGHT(Table1[[#This Row],[category &amp; sub-category]],LEN(Table1[[#This Row],[category &amp; sub-category]])-SEARCH("/",Table1[[#This Row],[category &amp; sub-category]]))</f>
        <v>food trucks</v>
      </c>
    </row>
    <row r="611" spans="2:22" ht="15.75" customHeight="1" x14ac:dyDescent="0.25">
      <c r="B611">
        <v>608</v>
      </c>
      <c r="C611" t="s">
        <v>1258</v>
      </c>
      <c r="D611" s="3" t="s">
        <v>1259</v>
      </c>
      <c r="E611" s="6">
        <v>3900</v>
      </c>
      <c r="F611" s="6">
        <v>11075</v>
      </c>
      <c r="G611" s="17">
        <f>ROUND(Table1[[#This Row],[pledged]]/Table1[[#This Row],[goal]]*100,2)</f>
        <v>283.97000000000003</v>
      </c>
      <c r="H611" s="5">
        <f>+Table1[[#This Row],[pledged]]/Table1[[#This Row],[goal]]</f>
        <v>2.8397435897435899</v>
      </c>
      <c r="I611" t="s">
        <v>20</v>
      </c>
      <c r="J611">
        <v>316</v>
      </c>
      <c r="K611" s="8">
        <f>IFERROR(Table1[[#This Row],[pledged]]/Table1[[#This Row],[backers_count]],"NA")</f>
        <v>35.047468354430379</v>
      </c>
      <c r="L611" t="s">
        <v>21</v>
      </c>
      <c r="M611" t="s">
        <v>22</v>
      </c>
      <c r="N611">
        <v>1551852000</v>
      </c>
      <c r="O611">
        <v>1552197600</v>
      </c>
      <c r="P611" s="11">
        <f>+(((Table1[[#This Row],[launched_at]]/60)/60)/24)+DATE(1970,1,1)</f>
        <v>43530.25</v>
      </c>
      <c r="Q611" s="11">
        <f>+(((Table1[[#This Row],[deadline]]/60)/60)/24)+DATE(1970,1,1)</f>
        <v>43534.25</v>
      </c>
      <c r="R611" t="b">
        <v>0</v>
      </c>
      <c r="S611" t="b">
        <v>1</v>
      </c>
      <c r="T611" t="s">
        <v>159</v>
      </c>
      <c r="U611" t="str">
        <f>+LEFT(Table1[[#This Row],[category &amp; sub-category]],FIND("/",Table1[[#This Row],[category &amp; sub-category]])-1)</f>
        <v>music</v>
      </c>
      <c r="V611" t="str">
        <f>+RIGHT(Table1[[#This Row],[category &amp; sub-category]],LEN(Table1[[#This Row],[category &amp; sub-category]])-SEARCH("/",Table1[[#This Row],[category &amp; sub-category]]))</f>
        <v>jazz</v>
      </c>
    </row>
    <row r="612" spans="2:22" ht="15.75" customHeight="1" x14ac:dyDescent="0.25">
      <c r="B612">
        <v>609</v>
      </c>
      <c r="C612" t="s">
        <v>1260</v>
      </c>
      <c r="D612" s="3" t="s">
        <v>1261</v>
      </c>
      <c r="E612" s="6">
        <v>10000</v>
      </c>
      <c r="F612" s="6">
        <v>12042</v>
      </c>
      <c r="G612" s="17">
        <f>ROUND(Table1[[#This Row],[pledged]]/Table1[[#This Row],[goal]]*100,2)</f>
        <v>120.42</v>
      </c>
      <c r="H612" s="5">
        <f>+Table1[[#This Row],[pledged]]/Table1[[#This Row],[goal]]</f>
        <v>1.2041999999999999</v>
      </c>
      <c r="I612" t="s">
        <v>20</v>
      </c>
      <c r="J612">
        <v>117</v>
      </c>
      <c r="K612" s="8">
        <f>IFERROR(Table1[[#This Row],[pledged]]/Table1[[#This Row],[backers_count]],"NA")</f>
        <v>102.92307692307692</v>
      </c>
      <c r="L612" t="s">
        <v>21</v>
      </c>
      <c r="M612" t="s">
        <v>22</v>
      </c>
      <c r="N612">
        <v>1547618400</v>
      </c>
      <c r="O612">
        <v>1549087200</v>
      </c>
      <c r="P612" s="11">
        <f>+(((Table1[[#This Row],[launched_at]]/60)/60)/24)+DATE(1970,1,1)</f>
        <v>43481.25</v>
      </c>
      <c r="Q612" s="11">
        <f>+(((Table1[[#This Row],[deadline]]/60)/60)/24)+DATE(1970,1,1)</f>
        <v>43498.25</v>
      </c>
      <c r="R612" t="b">
        <v>0</v>
      </c>
      <c r="S612" t="b">
        <v>0</v>
      </c>
      <c r="T612" t="s">
        <v>474</v>
      </c>
      <c r="U612" t="str">
        <f>+LEFT(Table1[[#This Row],[category &amp; sub-category]],FIND("/",Table1[[#This Row],[category &amp; sub-category]])-1)</f>
        <v>film &amp; video</v>
      </c>
      <c r="V612" t="str">
        <f>+RIGHT(Table1[[#This Row],[category &amp; sub-category]],LEN(Table1[[#This Row],[category &amp; sub-category]])-SEARCH("/",Table1[[#This Row],[category &amp; sub-category]]))</f>
        <v>science fiction</v>
      </c>
    </row>
    <row r="613" spans="2:22" ht="15.75" customHeight="1" x14ac:dyDescent="0.25">
      <c r="B613">
        <v>610</v>
      </c>
      <c r="C613" t="s">
        <v>1262</v>
      </c>
      <c r="D613" s="3" t="s">
        <v>1263</v>
      </c>
      <c r="E613" s="6">
        <v>42800</v>
      </c>
      <c r="F613" s="6">
        <v>179356</v>
      </c>
      <c r="G613" s="17">
        <f>ROUND(Table1[[#This Row],[pledged]]/Table1[[#This Row],[goal]]*100,2)</f>
        <v>419.06</v>
      </c>
      <c r="H613" s="5">
        <f>+Table1[[#This Row],[pledged]]/Table1[[#This Row],[goal]]</f>
        <v>4.1905607476635511</v>
      </c>
      <c r="I613" t="s">
        <v>20</v>
      </c>
      <c r="J613">
        <v>6406</v>
      </c>
      <c r="K613" s="8">
        <f>IFERROR(Table1[[#This Row],[pledged]]/Table1[[#This Row],[backers_count]],"NA")</f>
        <v>27.998126756166094</v>
      </c>
      <c r="L613" t="s">
        <v>21</v>
      </c>
      <c r="M613" t="s">
        <v>22</v>
      </c>
      <c r="N613">
        <v>1355637600</v>
      </c>
      <c r="O613">
        <v>1356847200</v>
      </c>
      <c r="P613" s="11">
        <f>+(((Table1[[#This Row],[launched_at]]/60)/60)/24)+DATE(1970,1,1)</f>
        <v>41259.25</v>
      </c>
      <c r="Q613" s="11">
        <f>+(((Table1[[#This Row],[deadline]]/60)/60)/24)+DATE(1970,1,1)</f>
        <v>41273.25</v>
      </c>
      <c r="R613" t="b">
        <v>0</v>
      </c>
      <c r="S613" t="b">
        <v>0</v>
      </c>
      <c r="T613" t="s">
        <v>33</v>
      </c>
      <c r="U613" t="str">
        <f>+LEFT(Table1[[#This Row],[category &amp; sub-category]],FIND("/",Table1[[#This Row],[category &amp; sub-category]])-1)</f>
        <v>theater</v>
      </c>
      <c r="V613" t="str">
        <f>+RIGHT(Table1[[#This Row],[category &amp; sub-category]],LEN(Table1[[#This Row],[category &amp; sub-category]])-SEARCH("/",Table1[[#This Row],[category &amp; sub-category]]))</f>
        <v>plays</v>
      </c>
    </row>
    <row r="614" spans="2:22" ht="15.75" customHeight="1" x14ac:dyDescent="0.25">
      <c r="B614">
        <v>611</v>
      </c>
      <c r="C614" t="s">
        <v>1264</v>
      </c>
      <c r="D614" s="3" t="s">
        <v>1265</v>
      </c>
      <c r="E614" s="6">
        <v>8200</v>
      </c>
      <c r="F614" s="6">
        <v>1136</v>
      </c>
      <c r="G614" s="17">
        <f>ROUND(Table1[[#This Row],[pledged]]/Table1[[#This Row],[goal]]*100,2)</f>
        <v>13.85</v>
      </c>
      <c r="H614" s="5">
        <f>+Table1[[#This Row],[pledged]]/Table1[[#This Row],[goal]]</f>
        <v>0.13853658536585367</v>
      </c>
      <c r="I614" t="s">
        <v>74</v>
      </c>
      <c r="J614">
        <v>15</v>
      </c>
      <c r="K614" s="8">
        <f>IFERROR(Table1[[#This Row],[pledged]]/Table1[[#This Row],[backers_count]],"NA")</f>
        <v>75.733333333333334</v>
      </c>
      <c r="L614" t="s">
        <v>21</v>
      </c>
      <c r="M614" t="s">
        <v>22</v>
      </c>
      <c r="N614">
        <v>1374728400</v>
      </c>
      <c r="O614">
        <v>1375765200</v>
      </c>
      <c r="P614" s="11">
        <f>+(((Table1[[#This Row],[launched_at]]/60)/60)/24)+DATE(1970,1,1)</f>
        <v>41480.208333333336</v>
      </c>
      <c r="Q614" s="11">
        <f>+(((Table1[[#This Row],[deadline]]/60)/60)/24)+DATE(1970,1,1)</f>
        <v>41492.208333333336</v>
      </c>
      <c r="R614" t="b">
        <v>0</v>
      </c>
      <c r="S614" t="b">
        <v>0</v>
      </c>
      <c r="T614" t="s">
        <v>33</v>
      </c>
      <c r="U614" t="str">
        <f>+LEFT(Table1[[#This Row],[category &amp; sub-category]],FIND("/",Table1[[#This Row],[category &amp; sub-category]])-1)</f>
        <v>theater</v>
      </c>
      <c r="V614" t="str">
        <f>+RIGHT(Table1[[#This Row],[category &amp; sub-category]],LEN(Table1[[#This Row],[category &amp; sub-category]])-SEARCH("/",Table1[[#This Row],[category &amp; sub-category]]))</f>
        <v>plays</v>
      </c>
    </row>
    <row r="615" spans="2:22" ht="15.75" customHeight="1" x14ac:dyDescent="0.25">
      <c r="B615">
        <v>612</v>
      </c>
      <c r="C615" t="s">
        <v>1266</v>
      </c>
      <c r="D615" s="3" t="s">
        <v>1267</v>
      </c>
      <c r="E615" s="6">
        <v>6200</v>
      </c>
      <c r="F615" s="6">
        <v>8645</v>
      </c>
      <c r="G615" s="17">
        <f>ROUND(Table1[[#This Row],[pledged]]/Table1[[#This Row],[goal]]*100,2)</f>
        <v>139.44</v>
      </c>
      <c r="H615" s="5">
        <f>+Table1[[#This Row],[pledged]]/Table1[[#This Row],[goal]]</f>
        <v>1.3943548387096774</v>
      </c>
      <c r="I615" t="s">
        <v>20</v>
      </c>
      <c r="J615">
        <v>192</v>
      </c>
      <c r="K615" s="8">
        <f>IFERROR(Table1[[#This Row],[pledged]]/Table1[[#This Row],[backers_count]],"NA")</f>
        <v>45.026041666666664</v>
      </c>
      <c r="L615" t="s">
        <v>21</v>
      </c>
      <c r="M615" t="s">
        <v>22</v>
      </c>
      <c r="N615">
        <v>1287810000</v>
      </c>
      <c r="O615">
        <v>1289800800</v>
      </c>
      <c r="P615" s="11">
        <f>+(((Table1[[#This Row],[launched_at]]/60)/60)/24)+DATE(1970,1,1)</f>
        <v>40474.208333333336</v>
      </c>
      <c r="Q615" s="11">
        <f>+(((Table1[[#This Row],[deadline]]/60)/60)/24)+DATE(1970,1,1)</f>
        <v>40497.25</v>
      </c>
      <c r="R615" t="b">
        <v>0</v>
      </c>
      <c r="S615" t="b">
        <v>0</v>
      </c>
      <c r="T615" t="s">
        <v>50</v>
      </c>
      <c r="U615" t="str">
        <f>+LEFT(Table1[[#This Row],[category &amp; sub-category]],FIND("/",Table1[[#This Row],[category &amp; sub-category]])-1)</f>
        <v>music</v>
      </c>
      <c r="V615" t="str">
        <f>+RIGHT(Table1[[#This Row],[category &amp; sub-category]],LEN(Table1[[#This Row],[category &amp; sub-category]])-SEARCH("/",Table1[[#This Row],[category &amp; sub-category]]))</f>
        <v>electric music</v>
      </c>
    </row>
    <row r="616" spans="2:22" ht="15.75" customHeight="1" x14ac:dyDescent="0.25">
      <c r="B616">
        <v>613</v>
      </c>
      <c r="C616" t="s">
        <v>1268</v>
      </c>
      <c r="D616" s="3" t="s">
        <v>1269</v>
      </c>
      <c r="E616" s="6">
        <v>1100</v>
      </c>
      <c r="F616" s="6">
        <v>1914</v>
      </c>
      <c r="G616" s="17">
        <f>ROUND(Table1[[#This Row],[pledged]]/Table1[[#This Row],[goal]]*100,2)</f>
        <v>174</v>
      </c>
      <c r="H616" s="5">
        <f>+Table1[[#This Row],[pledged]]/Table1[[#This Row],[goal]]</f>
        <v>1.74</v>
      </c>
      <c r="I616" t="s">
        <v>20</v>
      </c>
      <c r="J616">
        <v>26</v>
      </c>
      <c r="K616" s="8">
        <f>IFERROR(Table1[[#This Row],[pledged]]/Table1[[#This Row],[backers_count]],"NA")</f>
        <v>73.615384615384613</v>
      </c>
      <c r="L616" t="s">
        <v>15</v>
      </c>
      <c r="M616" t="s">
        <v>16</v>
      </c>
      <c r="N616">
        <v>1503723600</v>
      </c>
      <c r="O616">
        <v>1504501200</v>
      </c>
      <c r="P616" s="11">
        <f>+(((Table1[[#This Row],[launched_at]]/60)/60)/24)+DATE(1970,1,1)</f>
        <v>42973.208333333328</v>
      </c>
      <c r="Q616" s="11">
        <f>+(((Table1[[#This Row],[deadline]]/60)/60)/24)+DATE(1970,1,1)</f>
        <v>42982.208333333328</v>
      </c>
      <c r="R616" t="b">
        <v>0</v>
      </c>
      <c r="S616" t="b">
        <v>0</v>
      </c>
      <c r="T616" t="s">
        <v>33</v>
      </c>
      <c r="U616" t="str">
        <f>+LEFT(Table1[[#This Row],[category &amp; sub-category]],FIND("/",Table1[[#This Row],[category &amp; sub-category]])-1)</f>
        <v>theater</v>
      </c>
      <c r="V616" t="str">
        <f>+RIGHT(Table1[[#This Row],[category &amp; sub-category]],LEN(Table1[[#This Row],[category &amp; sub-category]])-SEARCH("/",Table1[[#This Row],[category &amp; sub-category]]))</f>
        <v>plays</v>
      </c>
    </row>
    <row r="617" spans="2:22" ht="15.75" customHeight="1" x14ac:dyDescent="0.25">
      <c r="B617">
        <v>614</v>
      </c>
      <c r="C617" t="s">
        <v>1270</v>
      </c>
      <c r="D617" s="3" t="s">
        <v>1271</v>
      </c>
      <c r="E617" s="6">
        <v>26500</v>
      </c>
      <c r="F617" s="6">
        <v>41205</v>
      </c>
      <c r="G617" s="17">
        <f>ROUND(Table1[[#This Row],[pledged]]/Table1[[#This Row],[goal]]*100,2)</f>
        <v>155.49</v>
      </c>
      <c r="H617" s="5">
        <f>+Table1[[#This Row],[pledged]]/Table1[[#This Row],[goal]]</f>
        <v>1.5549056603773586</v>
      </c>
      <c r="I617" t="s">
        <v>20</v>
      </c>
      <c r="J617">
        <v>723</v>
      </c>
      <c r="K617" s="8">
        <f>IFERROR(Table1[[#This Row],[pledged]]/Table1[[#This Row],[backers_count]],"NA")</f>
        <v>56.991701244813278</v>
      </c>
      <c r="L617" t="s">
        <v>21</v>
      </c>
      <c r="M617" t="s">
        <v>22</v>
      </c>
      <c r="N617">
        <v>1484114400</v>
      </c>
      <c r="O617">
        <v>1485669600</v>
      </c>
      <c r="P617" s="11">
        <f>+(((Table1[[#This Row],[launched_at]]/60)/60)/24)+DATE(1970,1,1)</f>
        <v>42746.25</v>
      </c>
      <c r="Q617" s="11">
        <f>+(((Table1[[#This Row],[deadline]]/60)/60)/24)+DATE(1970,1,1)</f>
        <v>42764.25</v>
      </c>
      <c r="R617" t="b">
        <v>0</v>
      </c>
      <c r="S617" t="b">
        <v>0</v>
      </c>
      <c r="T617" t="s">
        <v>33</v>
      </c>
      <c r="U617" t="str">
        <f>+LEFT(Table1[[#This Row],[category &amp; sub-category]],FIND("/",Table1[[#This Row],[category &amp; sub-category]])-1)</f>
        <v>theater</v>
      </c>
      <c r="V617" t="str">
        <f>+RIGHT(Table1[[#This Row],[category &amp; sub-category]],LEN(Table1[[#This Row],[category &amp; sub-category]])-SEARCH("/",Table1[[#This Row],[category &amp; sub-category]]))</f>
        <v>plays</v>
      </c>
    </row>
    <row r="618" spans="2:22" ht="15.75" customHeight="1" x14ac:dyDescent="0.25">
      <c r="B618">
        <v>615</v>
      </c>
      <c r="C618" t="s">
        <v>1272</v>
      </c>
      <c r="D618" s="3" t="s">
        <v>1273</v>
      </c>
      <c r="E618" s="6">
        <v>8500</v>
      </c>
      <c r="F618" s="6">
        <v>14488</v>
      </c>
      <c r="G618" s="17">
        <f>ROUND(Table1[[#This Row],[pledged]]/Table1[[#This Row],[goal]]*100,2)</f>
        <v>170.45</v>
      </c>
      <c r="H618" s="5">
        <f>+Table1[[#This Row],[pledged]]/Table1[[#This Row],[goal]]</f>
        <v>1.7044705882352942</v>
      </c>
      <c r="I618" t="s">
        <v>20</v>
      </c>
      <c r="J618">
        <v>170</v>
      </c>
      <c r="K618" s="8">
        <f>IFERROR(Table1[[#This Row],[pledged]]/Table1[[#This Row],[backers_count]],"NA")</f>
        <v>85.223529411764702</v>
      </c>
      <c r="L618" t="s">
        <v>107</v>
      </c>
      <c r="M618" t="s">
        <v>108</v>
      </c>
      <c r="N618">
        <v>1461906000</v>
      </c>
      <c r="O618">
        <v>1462770000</v>
      </c>
      <c r="P618" s="11">
        <f>+(((Table1[[#This Row],[launched_at]]/60)/60)/24)+DATE(1970,1,1)</f>
        <v>42489.208333333328</v>
      </c>
      <c r="Q618" s="11">
        <f>+(((Table1[[#This Row],[deadline]]/60)/60)/24)+DATE(1970,1,1)</f>
        <v>42499.208333333328</v>
      </c>
      <c r="R618" t="b">
        <v>0</v>
      </c>
      <c r="S618" t="b">
        <v>0</v>
      </c>
      <c r="T618" t="s">
        <v>33</v>
      </c>
      <c r="U618" t="str">
        <f>+LEFT(Table1[[#This Row],[category &amp; sub-category]],FIND("/",Table1[[#This Row],[category &amp; sub-category]])-1)</f>
        <v>theater</v>
      </c>
      <c r="V618" t="str">
        <f>+RIGHT(Table1[[#This Row],[category &amp; sub-category]],LEN(Table1[[#This Row],[category &amp; sub-category]])-SEARCH("/",Table1[[#This Row],[category &amp; sub-category]]))</f>
        <v>plays</v>
      </c>
    </row>
    <row r="619" spans="2:22" ht="15.75" customHeight="1" x14ac:dyDescent="0.25">
      <c r="B619">
        <v>616</v>
      </c>
      <c r="C619" t="s">
        <v>1274</v>
      </c>
      <c r="D619" s="3" t="s">
        <v>1275</v>
      </c>
      <c r="E619" s="6">
        <v>6400</v>
      </c>
      <c r="F619" s="6">
        <v>12129</v>
      </c>
      <c r="G619" s="17">
        <f>ROUND(Table1[[#This Row],[pledged]]/Table1[[#This Row],[goal]]*100,2)</f>
        <v>189.52</v>
      </c>
      <c r="H619" s="5">
        <f>+Table1[[#This Row],[pledged]]/Table1[[#This Row],[goal]]</f>
        <v>1.8951562500000001</v>
      </c>
      <c r="I619" t="s">
        <v>20</v>
      </c>
      <c r="J619">
        <v>238</v>
      </c>
      <c r="K619" s="8">
        <f>IFERROR(Table1[[#This Row],[pledged]]/Table1[[#This Row],[backers_count]],"NA")</f>
        <v>50.962184873949582</v>
      </c>
      <c r="L619" t="s">
        <v>40</v>
      </c>
      <c r="M619" t="s">
        <v>41</v>
      </c>
      <c r="N619">
        <v>1379653200</v>
      </c>
      <c r="O619">
        <v>1379739600</v>
      </c>
      <c r="P619" s="11">
        <f>+(((Table1[[#This Row],[launched_at]]/60)/60)/24)+DATE(1970,1,1)</f>
        <v>41537.208333333336</v>
      </c>
      <c r="Q619" s="11">
        <f>+(((Table1[[#This Row],[deadline]]/60)/60)/24)+DATE(1970,1,1)</f>
        <v>41538.208333333336</v>
      </c>
      <c r="R619" t="b">
        <v>0</v>
      </c>
      <c r="S619" t="b">
        <v>1</v>
      </c>
      <c r="T619" t="s">
        <v>60</v>
      </c>
      <c r="U619" t="str">
        <f>+LEFT(Table1[[#This Row],[category &amp; sub-category]],FIND("/",Table1[[#This Row],[category &amp; sub-category]])-1)</f>
        <v>music</v>
      </c>
      <c r="V619" t="str">
        <f>+RIGHT(Table1[[#This Row],[category &amp; sub-category]],LEN(Table1[[#This Row],[category &amp; sub-category]])-SEARCH("/",Table1[[#This Row],[category &amp; sub-category]]))</f>
        <v>indie rock</v>
      </c>
    </row>
    <row r="620" spans="2:22" ht="15.75" customHeight="1" x14ac:dyDescent="0.25">
      <c r="B620">
        <v>617</v>
      </c>
      <c r="C620" t="s">
        <v>1276</v>
      </c>
      <c r="D620" s="3" t="s">
        <v>1277</v>
      </c>
      <c r="E620" s="6">
        <v>1400</v>
      </c>
      <c r="F620" s="6">
        <v>3496</v>
      </c>
      <c r="G620" s="17">
        <f>ROUND(Table1[[#This Row],[pledged]]/Table1[[#This Row],[goal]]*100,2)</f>
        <v>249.71</v>
      </c>
      <c r="H620" s="5">
        <f>+Table1[[#This Row],[pledged]]/Table1[[#This Row],[goal]]</f>
        <v>2.4971428571428573</v>
      </c>
      <c r="I620" t="s">
        <v>20</v>
      </c>
      <c r="J620">
        <v>55</v>
      </c>
      <c r="K620" s="8">
        <f>IFERROR(Table1[[#This Row],[pledged]]/Table1[[#This Row],[backers_count]],"NA")</f>
        <v>63.563636363636363</v>
      </c>
      <c r="L620" t="s">
        <v>21</v>
      </c>
      <c r="M620" t="s">
        <v>22</v>
      </c>
      <c r="N620">
        <v>1401858000</v>
      </c>
      <c r="O620">
        <v>1402722000</v>
      </c>
      <c r="P620" s="11">
        <f>+(((Table1[[#This Row],[launched_at]]/60)/60)/24)+DATE(1970,1,1)</f>
        <v>41794.208333333336</v>
      </c>
      <c r="Q620" s="11">
        <f>+(((Table1[[#This Row],[deadline]]/60)/60)/24)+DATE(1970,1,1)</f>
        <v>41804.208333333336</v>
      </c>
      <c r="R620" t="b">
        <v>0</v>
      </c>
      <c r="S620" t="b">
        <v>0</v>
      </c>
      <c r="T620" t="s">
        <v>33</v>
      </c>
      <c r="U620" t="str">
        <f>+LEFT(Table1[[#This Row],[category &amp; sub-category]],FIND("/",Table1[[#This Row],[category &amp; sub-category]])-1)</f>
        <v>theater</v>
      </c>
      <c r="V620" t="str">
        <f>+RIGHT(Table1[[#This Row],[category &amp; sub-category]],LEN(Table1[[#This Row],[category &amp; sub-category]])-SEARCH("/",Table1[[#This Row],[category &amp; sub-category]]))</f>
        <v>plays</v>
      </c>
    </row>
    <row r="621" spans="2:22" ht="15.75" customHeight="1" x14ac:dyDescent="0.25">
      <c r="B621">
        <v>618</v>
      </c>
      <c r="C621" t="s">
        <v>1278</v>
      </c>
      <c r="D621" s="3" t="s">
        <v>1279</v>
      </c>
      <c r="E621" s="6">
        <v>198600</v>
      </c>
      <c r="F621" s="6">
        <v>97037</v>
      </c>
      <c r="G621" s="17">
        <f>ROUND(Table1[[#This Row],[pledged]]/Table1[[#This Row],[goal]]*100,2)</f>
        <v>48.86</v>
      </c>
      <c r="H621" s="5">
        <f>+Table1[[#This Row],[pledged]]/Table1[[#This Row],[goal]]</f>
        <v>0.48860523665659616</v>
      </c>
      <c r="I621" t="s">
        <v>14</v>
      </c>
      <c r="J621">
        <v>1198</v>
      </c>
      <c r="K621" s="8">
        <f>IFERROR(Table1[[#This Row],[pledged]]/Table1[[#This Row],[backers_count]],"NA")</f>
        <v>80.999165275459092</v>
      </c>
      <c r="L621" t="s">
        <v>21</v>
      </c>
      <c r="M621" t="s">
        <v>22</v>
      </c>
      <c r="N621">
        <v>1367470800</v>
      </c>
      <c r="O621">
        <v>1369285200</v>
      </c>
      <c r="P621" s="11">
        <f>+(((Table1[[#This Row],[launched_at]]/60)/60)/24)+DATE(1970,1,1)</f>
        <v>41396.208333333336</v>
      </c>
      <c r="Q621" s="11">
        <f>+(((Table1[[#This Row],[deadline]]/60)/60)/24)+DATE(1970,1,1)</f>
        <v>41417.208333333336</v>
      </c>
      <c r="R621" t="b">
        <v>0</v>
      </c>
      <c r="S621" t="b">
        <v>0</v>
      </c>
      <c r="T621" t="s">
        <v>68</v>
      </c>
      <c r="U621" t="str">
        <f>+LEFT(Table1[[#This Row],[category &amp; sub-category]],FIND("/",Table1[[#This Row],[category &amp; sub-category]])-1)</f>
        <v>publishing</v>
      </c>
      <c r="V621" t="str">
        <f>+RIGHT(Table1[[#This Row],[category &amp; sub-category]],LEN(Table1[[#This Row],[category &amp; sub-category]])-SEARCH("/",Table1[[#This Row],[category &amp; sub-category]]))</f>
        <v>nonfiction</v>
      </c>
    </row>
    <row r="622" spans="2:22" ht="15.75" customHeight="1" x14ac:dyDescent="0.25">
      <c r="B622">
        <v>619</v>
      </c>
      <c r="C622" t="s">
        <v>1280</v>
      </c>
      <c r="D622" s="3" t="s">
        <v>1281</v>
      </c>
      <c r="E622" s="6">
        <v>195900</v>
      </c>
      <c r="F622" s="6">
        <v>55757</v>
      </c>
      <c r="G622" s="17">
        <f>ROUND(Table1[[#This Row],[pledged]]/Table1[[#This Row],[goal]]*100,2)</f>
        <v>28.46</v>
      </c>
      <c r="H622" s="5">
        <f>+Table1[[#This Row],[pledged]]/Table1[[#This Row],[goal]]</f>
        <v>0.28461970393057684</v>
      </c>
      <c r="I622" t="s">
        <v>14</v>
      </c>
      <c r="J622">
        <v>648</v>
      </c>
      <c r="K622" s="8">
        <f>IFERROR(Table1[[#This Row],[pledged]]/Table1[[#This Row],[backers_count]],"NA")</f>
        <v>86.044753086419746</v>
      </c>
      <c r="L622" t="s">
        <v>21</v>
      </c>
      <c r="M622" t="s">
        <v>22</v>
      </c>
      <c r="N622">
        <v>1304658000</v>
      </c>
      <c r="O622">
        <v>1304744400</v>
      </c>
      <c r="P622" s="11">
        <f>+(((Table1[[#This Row],[launched_at]]/60)/60)/24)+DATE(1970,1,1)</f>
        <v>40669.208333333336</v>
      </c>
      <c r="Q622" s="11">
        <f>+(((Table1[[#This Row],[deadline]]/60)/60)/24)+DATE(1970,1,1)</f>
        <v>40670.208333333336</v>
      </c>
      <c r="R622" t="b">
        <v>1</v>
      </c>
      <c r="S622" t="b">
        <v>1</v>
      </c>
      <c r="T622" t="s">
        <v>33</v>
      </c>
      <c r="U622" t="str">
        <f>+LEFT(Table1[[#This Row],[category &amp; sub-category]],FIND("/",Table1[[#This Row],[category &amp; sub-category]])-1)</f>
        <v>theater</v>
      </c>
      <c r="V622" t="str">
        <f>+RIGHT(Table1[[#This Row],[category &amp; sub-category]],LEN(Table1[[#This Row],[category &amp; sub-category]])-SEARCH("/",Table1[[#This Row],[category &amp; sub-category]]))</f>
        <v>plays</v>
      </c>
    </row>
    <row r="623" spans="2:22" ht="15.75" customHeight="1" x14ac:dyDescent="0.25">
      <c r="B623">
        <v>620</v>
      </c>
      <c r="C623" t="s">
        <v>1282</v>
      </c>
      <c r="D623" s="3" t="s">
        <v>1283</v>
      </c>
      <c r="E623" s="6">
        <v>4300</v>
      </c>
      <c r="F623" s="6">
        <v>11525</v>
      </c>
      <c r="G623" s="17">
        <f>ROUND(Table1[[#This Row],[pledged]]/Table1[[#This Row],[goal]]*100,2)</f>
        <v>268.02</v>
      </c>
      <c r="H623" s="5">
        <f>+Table1[[#This Row],[pledged]]/Table1[[#This Row],[goal]]</f>
        <v>2.6802325581395348</v>
      </c>
      <c r="I623" t="s">
        <v>20</v>
      </c>
      <c r="J623">
        <v>128</v>
      </c>
      <c r="K623" s="8">
        <f>IFERROR(Table1[[#This Row],[pledged]]/Table1[[#This Row],[backers_count]],"NA")</f>
        <v>90.0390625</v>
      </c>
      <c r="L623" t="s">
        <v>26</v>
      </c>
      <c r="M623" t="s">
        <v>27</v>
      </c>
      <c r="N623">
        <v>1467954000</v>
      </c>
      <c r="O623">
        <v>1468299600</v>
      </c>
      <c r="P623" s="11">
        <f>+(((Table1[[#This Row],[launched_at]]/60)/60)/24)+DATE(1970,1,1)</f>
        <v>42559.208333333328</v>
      </c>
      <c r="Q623" s="11">
        <f>+(((Table1[[#This Row],[deadline]]/60)/60)/24)+DATE(1970,1,1)</f>
        <v>42563.208333333328</v>
      </c>
      <c r="R623" t="b">
        <v>0</v>
      </c>
      <c r="S623" t="b">
        <v>0</v>
      </c>
      <c r="T623" t="s">
        <v>122</v>
      </c>
      <c r="U623" t="str">
        <f>+LEFT(Table1[[#This Row],[category &amp; sub-category]],FIND("/",Table1[[#This Row],[category &amp; sub-category]])-1)</f>
        <v>photography</v>
      </c>
      <c r="V623" t="str">
        <f>+RIGHT(Table1[[#This Row],[category &amp; sub-category]],LEN(Table1[[#This Row],[category &amp; sub-category]])-SEARCH("/",Table1[[#This Row],[category &amp; sub-category]]))</f>
        <v>photography books</v>
      </c>
    </row>
    <row r="624" spans="2:22" ht="15.75" customHeight="1" x14ac:dyDescent="0.25">
      <c r="B624">
        <v>621</v>
      </c>
      <c r="C624" t="s">
        <v>1284</v>
      </c>
      <c r="D624" s="3" t="s">
        <v>1285</v>
      </c>
      <c r="E624" s="6">
        <v>25600</v>
      </c>
      <c r="F624" s="6">
        <v>158669</v>
      </c>
      <c r="G624" s="17">
        <f>ROUND(Table1[[#This Row],[pledged]]/Table1[[#This Row],[goal]]*100,2)</f>
        <v>619.79999999999995</v>
      </c>
      <c r="H624" s="5">
        <f>+Table1[[#This Row],[pledged]]/Table1[[#This Row],[goal]]</f>
        <v>6.1980078125000002</v>
      </c>
      <c r="I624" t="s">
        <v>20</v>
      </c>
      <c r="J624">
        <v>2144</v>
      </c>
      <c r="K624" s="8">
        <f>IFERROR(Table1[[#This Row],[pledged]]/Table1[[#This Row],[backers_count]],"NA")</f>
        <v>74.006063432835816</v>
      </c>
      <c r="L624" t="s">
        <v>21</v>
      </c>
      <c r="M624" t="s">
        <v>22</v>
      </c>
      <c r="N624">
        <v>1473742800</v>
      </c>
      <c r="O624">
        <v>1474174800</v>
      </c>
      <c r="P624" s="11">
        <f>+(((Table1[[#This Row],[launched_at]]/60)/60)/24)+DATE(1970,1,1)</f>
        <v>42626.208333333328</v>
      </c>
      <c r="Q624" s="11">
        <f>+(((Table1[[#This Row],[deadline]]/60)/60)/24)+DATE(1970,1,1)</f>
        <v>42631.208333333328</v>
      </c>
      <c r="R624" t="b">
        <v>0</v>
      </c>
      <c r="S624" t="b">
        <v>0</v>
      </c>
      <c r="T624" t="s">
        <v>33</v>
      </c>
      <c r="U624" t="str">
        <f>+LEFT(Table1[[#This Row],[category &amp; sub-category]],FIND("/",Table1[[#This Row],[category &amp; sub-category]])-1)</f>
        <v>theater</v>
      </c>
      <c r="V624" t="str">
        <f>+RIGHT(Table1[[#This Row],[category &amp; sub-category]],LEN(Table1[[#This Row],[category &amp; sub-category]])-SEARCH("/",Table1[[#This Row],[category &amp; sub-category]]))</f>
        <v>plays</v>
      </c>
    </row>
    <row r="625" spans="2:22" ht="15.75" customHeight="1" x14ac:dyDescent="0.25">
      <c r="B625">
        <v>622</v>
      </c>
      <c r="C625" t="s">
        <v>1286</v>
      </c>
      <c r="D625" s="3" t="s">
        <v>1287</v>
      </c>
      <c r="E625" s="6">
        <v>189000</v>
      </c>
      <c r="F625" s="6">
        <v>5916</v>
      </c>
      <c r="G625" s="17">
        <f>ROUND(Table1[[#This Row],[pledged]]/Table1[[#This Row],[goal]]*100,2)</f>
        <v>3.13</v>
      </c>
      <c r="H625" s="5">
        <f>+Table1[[#This Row],[pledged]]/Table1[[#This Row],[goal]]</f>
        <v>3.1301587301587303E-2</v>
      </c>
      <c r="I625" t="s">
        <v>14</v>
      </c>
      <c r="J625">
        <v>64</v>
      </c>
      <c r="K625" s="8">
        <f>IFERROR(Table1[[#This Row],[pledged]]/Table1[[#This Row],[backers_count]],"NA")</f>
        <v>92.4375</v>
      </c>
      <c r="L625" t="s">
        <v>21</v>
      </c>
      <c r="M625" t="s">
        <v>22</v>
      </c>
      <c r="N625">
        <v>1523768400</v>
      </c>
      <c r="O625">
        <v>1526014800</v>
      </c>
      <c r="P625" s="11">
        <f>+(((Table1[[#This Row],[launched_at]]/60)/60)/24)+DATE(1970,1,1)</f>
        <v>43205.208333333328</v>
      </c>
      <c r="Q625" s="11">
        <f>+(((Table1[[#This Row],[deadline]]/60)/60)/24)+DATE(1970,1,1)</f>
        <v>43231.208333333328</v>
      </c>
      <c r="R625" t="b">
        <v>0</v>
      </c>
      <c r="S625" t="b">
        <v>0</v>
      </c>
      <c r="T625" t="s">
        <v>60</v>
      </c>
      <c r="U625" t="str">
        <f>+LEFT(Table1[[#This Row],[category &amp; sub-category]],FIND("/",Table1[[#This Row],[category &amp; sub-category]])-1)</f>
        <v>music</v>
      </c>
      <c r="V625" t="str">
        <f>+RIGHT(Table1[[#This Row],[category &amp; sub-category]],LEN(Table1[[#This Row],[category &amp; sub-category]])-SEARCH("/",Table1[[#This Row],[category &amp; sub-category]]))</f>
        <v>indie rock</v>
      </c>
    </row>
    <row r="626" spans="2:22" ht="15.75" customHeight="1" x14ac:dyDescent="0.25">
      <c r="B626">
        <v>623</v>
      </c>
      <c r="C626" t="s">
        <v>1288</v>
      </c>
      <c r="D626" s="3" t="s">
        <v>1289</v>
      </c>
      <c r="E626" s="6">
        <v>94300</v>
      </c>
      <c r="F626" s="6">
        <v>150806</v>
      </c>
      <c r="G626" s="17">
        <f>ROUND(Table1[[#This Row],[pledged]]/Table1[[#This Row],[goal]]*100,2)</f>
        <v>159.91999999999999</v>
      </c>
      <c r="H626" s="5">
        <f>+Table1[[#This Row],[pledged]]/Table1[[#This Row],[goal]]</f>
        <v>1.5992152704135738</v>
      </c>
      <c r="I626" t="s">
        <v>20</v>
      </c>
      <c r="J626">
        <v>2693</v>
      </c>
      <c r="K626" s="8">
        <f>IFERROR(Table1[[#This Row],[pledged]]/Table1[[#This Row],[backers_count]],"NA")</f>
        <v>55.999257333828446</v>
      </c>
      <c r="L626" t="s">
        <v>40</v>
      </c>
      <c r="M626" t="s">
        <v>41</v>
      </c>
      <c r="N626">
        <v>1437022800</v>
      </c>
      <c r="O626">
        <v>1437454800</v>
      </c>
      <c r="P626" s="11">
        <f>+(((Table1[[#This Row],[launched_at]]/60)/60)/24)+DATE(1970,1,1)</f>
        <v>42201.208333333328</v>
      </c>
      <c r="Q626" s="11">
        <f>+(((Table1[[#This Row],[deadline]]/60)/60)/24)+DATE(1970,1,1)</f>
        <v>42206.208333333328</v>
      </c>
      <c r="R626" t="b">
        <v>0</v>
      </c>
      <c r="S626" t="b">
        <v>0</v>
      </c>
      <c r="T626" t="s">
        <v>33</v>
      </c>
      <c r="U626" t="str">
        <f>+LEFT(Table1[[#This Row],[category &amp; sub-category]],FIND("/",Table1[[#This Row],[category &amp; sub-category]])-1)</f>
        <v>theater</v>
      </c>
      <c r="V626" t="str">
        <f>+RIGHT(Table1[[#This Row],[category &amp; sub-category]],LEN(Table1[[#This Row],[category &amp; sub-category]])-SEARCH("/",Table1[[#This Row],[category &amp; sub-category]]))</f>
        <v>plays</v>
      </c>
    </row>
    <row r="627" spans="2:22" ht="15.75" customHeight="1" x14ac:dyDescent="0.25">
      <c r="B627">
        <v>624</v>
      </c>
      <c r="C627" t="s">
        <v>1290</v>
      </c>
      <c r="D627" s="3" t="s">
        <v>1291</v>
      </c>
      <c r="E627" s="6">
        <v>5100</v>
      </c>
      <c r="F627" s="6">
        <v>14249</v>
      </c>
      <c r="G627" s="17">
        <f>ROUND(Table1[[#This Row],[pledged]]/Table1[[#This Row],[goal]]*100,2)</f>
        <v>279.39</v>
      </c>
      <c r="H627" s="5">
        <f>+Table1[[#This Row],[pledged]]/Table1[[#This Row],[goal]]</f>
        <v>2.793921568627451</v>
      </c>
      <c r="I627" t="s">
        <v>20</v>
      </c>
      <c r="J627">
        <v>432</v>
      </c>
      <c r="K627" s="8">
        <f>IFERROR(Table1[[#This Row],[pledged]]/Table1[[#This Row],[backers_count]],"NA")</f>
        <v>32.983796296296298</v>
      </c>
      <c r="L627" t="s">
        <v>21</v>
      </c>
      <c r="M627" t="s">
        <v>22</v>
      </c>
      <c r="N627">
        <v>1422165600</v>
      </c>
      <c r="O627">
        <v>1422684000</v>
      </c>
      <c r="P627" s="11">
        <f>+(((Table1[[#This Row],[launched_at]]/60)/60)/24)+DATE(1970,1,1)</f>
        <v>42029.25</v>
      </c>
      <c r="Q627" s="11">
        <f>+(((Table1[[#This Row],[deadline]]/60)/60)/24)+DATE(1970,1,1)</f>
        <v>42035.25</v>
      </c>
      <c r="R627" t="b">
        <v>0</v>
      </c>
      <c r="S627" t="b">
        <v>0</v>
      </c>
      <c r="T627" t="s">
        <v>122</v>
      </c>
      <c r="U627" t="str">
        <f>+LEFT(Table1[[#This Row],[category &amp; sub-category]],FIND("/",Table1[[#This Row],[category &amp; sub-category]])-1)</f>
        <v>photography</v>
      </c>
      <c r="V627" t="str">
        <f>+RIGHT(Table1[[#This Row],[category &amp; sub-category]],LEN(Table1[[#This Row],[category &amp; sub-category]])-SEARCH("/",Table1[[#This Row],[category &amp; sub-category]]))</f>
        <v>photography books</v>
      </c>
    </row>
    <row r="628" spans="2:22" ht="15.75" customHeight="1" x14ac:dyDescent="0.25">
      <c r="B628">
        <v>625</v>
      </c>
      <c r="C628" t="s">
        <v>1292</v>
      </c>
      <c r="D628" s="3" t="s">
        <v>1293</v>
      </c>
      <c r="E628" s="6">
        <v>7500</v>
      </c>
      <c r="F628" s="6">
        <v>5803</v>
      </c>
      <c r="G628" s="17">
        <f>ROUND(Table1[[#This Row],[pledged]]/Table1[[#This Row],[goal]]*100,2)</f>
        <v>77.37</v>
      </c>
      <c r="H628" s="5">
        <f>+Table1[[#This Row],[pledged]]/Table1[[#This Row],[goal]]</f>
        <v>0.77373333333333338</v>
      </c>
      <c r="I628" t="s">
        <v>14</v>
      </c>
      <c r="J628">
        <v>62</v>
      </c>
      <c r="K628" s="8">
        <f>IFERROR(Table1[[#This Row],[pledged]]/Table1[[#This Row],[backers_count]],"NA")</f>
        <v>93.596774193548384</v>
      </c>
      <c r="L628" t="s">
        <v>21</v>
      </c>
      <c r="M628" t="s">
        <v>22</v>
      </c>
      <c r="N628">
        <v>1580104800</v>
      </c>
      <c r="O628">
        <v>1581314400</v>
      </c>
      <c r="P628" s="11">
        <f>+(((Table1[[#This Row],[launched_at]]/60)/60)/24)+DATE(1970,1,1)</f>
        <v>43857.25</v>
      </c>
      <c r="Q628" s="11">
        <f>+(((Table1[[#This Row],[deadline]]/60)/60)/24)+DATE(1970,1,1)</f>
        <v>43871.25</v>
      </c>
      <c r="R628" t="b">
        <v>0</v>
      </c>
      <c r="S628" t="b">
        <v>0</v>
      </c>
      <c r="T628" t="s">
        <v>33</v>
      </c>
      <c r="U628" t="str">
        <f>+LEFT(Table1[[#This Row],[category &amp; sub-category]],FIND("/",Table1[[#This Row],[category &amp; sub-category]])-1)</f>
        <v>theater</v>
      </c>
      <c r="V628" t="str">
        <f>+RIGHT(Table1[[#This Row],[category &amp; sub-category]],LEN(Table1[[#This Row],[category &amp; sub-category]])-SEARCH("/",Table1[[#This Row],[category &amp; sub-category]]))</f>
        <v>plays</v>
      </c>
    </row>
    <row r="629" spans="2:22" ht="15.75" customHeight="1" x14ac:dyDescent="0.25">
      <c r="B629">
        <v>626</v>
      </c>
      <c r="C629" t="s">
        <v>1294</v>
      </c>
      <c r="D629" s="3" t="s">
        <v>1295</v>
      </c>
      <c r="E629" s="6">
        <v>6400</v>
      </c>
      <c r="F629" s="6">
        <v>13205</v>
      </c>
      <c r="G629" s="17">
        <f>ROUND(Table1[[#This Row],[pledged]]/Table1[[#This Row],[goal]]*100,2)</f>
        <v>206.33</v>
      </c>
      <c r="H629" s="5">
        <f>+Table1[[#This Row],[pledged]]/Table1[[#This Row],[goal]]</f>
        <v>2.0632812500000002</v>
      </c>
      <c r="I629" t="s">
        <v>20</v>
      </c>
      <c r="J629">
        <v>189</v>
      </c>
      <c r="K629" s="8">
        <f>IFERROR(Table1[[#This Row],[pledged]]/Table1[[#This Row],[backers_count]],"NA")</f>
        <v>69.867724867724874</v>
      </c>
      <c r="L629" t="s">
        <v>21</v>
      </c>
      <c r="M629" t="s">
        <v>22</v>
      </c>
      <c r="N629">
        <v>1285650000</v>
      </c>
      <c r="O629">
        <v>1286427600</v>
      </c>
      <c r="P629" s="11">
        <f>+(((Table1[[#This Row],[launched_at]]/60)/60)/24)+DATE(1970,1,1)</f>
        <v>40449.208333333336</v>
      </c>
      <c r="Q629" s="11">
        <f>+(((Table1[[#This Row],[deadline]]/60)/60)/24)+DATE(1970,1,1)</f>
        <v>40458.208333333336</v>
      </c>
      <c r="R629" t="b">
        <v>0</v>
      </c>
      <c r="S629" t="b">
        <v>1</v>
      </c>
      <c r="T629" t="s">
        <v>33</v>
      </c>
      <c r="U629" t="str">
        <f>+LEFT(Table1[[#This Row],[category &amp; sub-category]],FIND("/",Table1[[#This Row],[category &amp; sub-category]])-1)</f>
        <v>theater</v>
      </c>
      <c r="V629" t="str">
        <f>+RIGHT(Table1[[#This Row],[category &amp; sub-category]],LEN(Table1[[#This Row],[category &amp; sub-category]])-SEARCH("/",Table1[[#This Row],[category &amp; sub-category]]))</f>
        <v>plays</v>
      </c>
    </row>
    <row r="630" spans="2:22" ht="15.75" customHeight="1" x14ac:dyDescent="0.25">
      <c r="B630">
        <v>627</v>
      </c>
      <c r="C630" t="s">
        <v>1296</v>
      </c>
      <c r="D630" s="3" t="s">
        <v>1297</v>
      </c>
      <c r="E630" s="6">
        <v>1600</v>
      </c>
      <c r="F630" s="6">
        <v>11108</v>
      </c>
      <c r="G630" s="17">
        <f>ROUND(Table1[[#This Row],[pledged]]/Table1[[#This Row],[goal]]*100,2)</f>
        <v>694.25</v>
      </c>
      <c r="H630" s="5">
        <f>+Table1[[#This Row],[pledged]]/Table1[[#This Row],[goal]]</f>
        <v>6.9424999999999999</v>
      </c>
      <c r="I630" t="s">
        <v>20</v>
      </c>
      <c r="J630">
        <v>154</v>
      </c>
      <c r="K630" s="8">
        <f>IFERROR(Table1[[#This Row],[pledged]]/Table1[[#This Row],[backers_count]],"NA")</f>
        <v>72.129870129870127</v>
      </c>
      <c r="L630" t="s">
        <v>40</v>
      </c>
      <c r="M630" t="s">
        <v>41</v>
      </c>
      <c r="N630">
        <v>1276664400</v>
      </c>
      <c r="O630">
        <v>1278738000</v>
      </c>
      <c r="P630" s="11">
        <f>+(((Table1[[#This Row],[launched_at]]/60)/60)/24)+DATE(1970,1,1)</f>
        <v>40345.208333333336</v>
      </c>
      <c r="Q630" s="11">
        <f>+(((Table1[[#This Row],[deadline]]/60)/60)/24)+DATE(1970,1,1)</f>
        <v>40369.208333333336</v>
      </c>
      <c r="R630" t="b">
        <v>1</v>
      </c>
      <c r="S630" t="b">
        <v>0</v>
      </c>
      <c r="T630" t="s">
        <v>17</v>
      </c>
      <c r="U630" t="str">
        <f>+LEFT(Table1[[#This Row],[category &amp; sub-category]],FIND("/",Table1[[#This Row],[category &amp; sub-category]])-1)</f>
        <v>food</v>
      </c>
      <c r="V630" t="str">
        <f>+RIGHT(Table1[[#This Row],[category &amp; sub-category]],LEN(Table1[[#This Row],[category &amp; sub-category]])-SEARCH("/",Table1[[#This Row],[category &amp; sub-category]]))</f>
        <v>food trucks</v>
      </c>
    </row>
    <row r="631" spans="2:22" ht="15.75" customHeight="1" x14ac:dyDescent="0.25">
      <c r="B631">
        <v>628</v>
      </c>
      <c r="C631" t="s">
        <v>1298</v>
      </c>
      <c r="D631" s="3" t="s">
        <v>1299</v>
      </c>
      <c r="E631" s="6">
        <v>1900</v>
      </c>
      <c r="F631" s="6">
        <v>2884</v>
      </c>
      <c r="G631" s="17">
        <f>ROUND(Table1[[#This Row],[pledged]]/Table1[[#This Row],[goal]]*100,2)</f>
        <v>151.79</v>
      </c>
      <c r="H631" s="5">
        <f>+Table1[[#This Row],[pledged]]/Table1[[#This Row],[goal]]</f>
        <v>1.5178947368421052</v>
      </c>
      <c r="I631" t="s">
        <v>20</v>
      </c>
      <c r="J631">
        <v>96</v>
      </c>
      <c r="K631" s="8">
        <f>IFERROR(Table1[[#This Row],[pledged]]/Table1[[#This Row],[backers_count]],"NA")</f>
        <v>30.041666666666668</v>
      </c>
      <c r="L631" t="s">
        <v>21</v>
      </c>
      <c r="M631" t="s">
        <v>22</v>
      </c>
      <c r="N631">
        <v>1286168400</v>
      </c>
      <c r="O631">
        <v>1286427600</v>
      </c>
      <c r="P631" s="11">
        <f>+(((Table1[[#This Row],[launched_at]]/60)/60)/24)+DATE(1970,1,1)</f>
        <v>40455.208333333336</v>
      </c>
      <c r="Q631" s="11">
        <f>+(((Table1[[#This Row],[deadline]]/60)/60)/24)+DATE(1970,1,1)</f>
        <v>40458.208333333336</v>
      </c>
      <c r="R631" t="b">
        <v>0</v>
      </c>
      <c r="S631" t="b">
        <v>0</v>
      </c>
      <c r="T631" t="s">
        <v>60</v>
      </c>
      <c r="U631" t="str">
        <f>+LEFT(Table1[[#This Row],[category &amp; sub-category]],FIND("/",Table1[[#This Row],[category &amp; sub-category]])-1)</f>
        <v>music</v>
      </c>
      <c r="V631" t="str">
        <f>+RIGHT(Table1[[#This Row],[category &amp; sub-category]],LEN(Table1[[#This Row],[category &amp; sub-category]])-SEARCH("/",Table1[[#This Row],[category &amp; sub-category]]))</f>
        <v>indie rock</v>
      </c>
    </row>
    <row r="632" spans="2:22" ht="15.75" customHeight="1" x14ac:dyDescent="0.25">
      <c r="B632">
        <v>629</v>
      </c>
      <c r="C632" t="s">
        <v>1300</v>
      </c>
      <c r="D632" s="3" t="s">
        <v>1301</v>
      </c>
      <c r="E632" s="6">
        <v>85900</v>
      </c>
      <c r="F632" s="6">
        <v>55476</v>
      </c>
      <c r="G632" s="17">
        <f>ROUND(Table1[[#This Row],[pledged]]/Table1[[#This Row],[goal]]*100,2)</f>
        <v>64.58</v>
      </c>
      <c r="H632" s="5">
        <f>+Table1[[#This Row],[pledged]]/Table1[[#This Row],[goal]]</f>
        <v>0.64582072176949945</v>
      </c>
      <c r="I632" t="s">
        <v>14</v>
      </c>
      <c r="J632">
        <v>750</v>
      </c>
      <c r="K632" s="8">
        <f>IFERROR(Table1[[#This Row],[pledged]]/Table1[[#This Row],[backers_count]],"NA")</f>
        <v>73.968000000000004</v>
      </c>
      <c r="L632" t="s">
        <v>21</v>
      </c>
      <c r="M632" t="s">
        <v>22</v>
      </c>
      <c r="N632">
        <v>1467781200</v>
      </c>
      <c r="O632">
        <v>1467954000</v>
      </c>
      <c r="P632" s="11">
        <f>+(((Table1[[#This Row],[launched_at]]/60)/60)/24)+DATE(1970,1,1)</f>
        <v>42557.208333333328</v>
      </c>
      <c r="Q632" s="11">
        <f>+(((Table1[[#This Row],[deadline]]/60)/60)/24)+DATE(1970,1,1)</f>
        <v>42559.208333333328</v>
      </c>
      <c r="R632" t="b">
        <v>0</v>
      </c>
      <c r="S632" t="b">
        <v>1</v>
      </c>
      <c r="T632" t="s">
        <v>33</v>
      </c>
      <c r="U632" t="str">
        <f>+LEFT(Table1[[#This Row],[category &amp; sub-category]],FIND("/",Table1[[#This Row],[category &amp; sub-category]])-1)</f>
        <v>theater</v>
      </c>
      <c r="V632" t="str">
        <f>+RIGHT(Table1[[#This Row],[category &amp; sub-category]],LEN(Table1[[#This Row],[category &amp; sub-category]])-SEARCH("/",Table1[[#This Row],[category &amp; sub-category]]))</f>
        <v>plays</v>
      </c>
    </row>
    <row r="633" spans="2:22" ht="15.75" customHeight="1" x14ac:dyDescent="0.25">
      <c r="B633">
        <v>630</v>
      </c>
      <c r="C633" t="s">
        <v>1302</v>
      </c>
      <c r="D633" s="3" t="s">
        <v>1303</v>
      </c>
      <c r="E633" s="6">
        <v>9500</v>
      </c>
      <c r="F633" s="6">
        <v>5973</v>
      </c>
      <c r="G633" s="17">
        <f>ROUND(Table1[[#This Row],[pledged]]/Table1[[#This Row],[goal]]*100,2)</f>
        <v>62.87</v>
      </c>
      <c r="H633" s="5">
        <f>+Table1[[#This Row],[pledged]]/Table1[[#This Row],[goal]]</f>
        <v>0.62873684210526315</v>
      </c>
      <c r="I633" t="s">
        <v>74</v>
      </c>
      <c r="J633">
        <v>87</v>
      </c>
      <c r="K633" s="8">
        <f>IFERROR(Table1[[#This Row],[pledged]]/Table1[[#This Row],[backers_count]],"NA")</f>
        <v>68.65517241379311</v>
      </c>
      <c r="L633" t="s">
        <v>21</v>
      </c>
      <c r="M633" t="s">
        <v>22</v>
      </c>
      <c r="N633">
        <v>1556686800</v>
      </c>
      <c r="O633">
        <v>1557637200</v>
      </c>
      <c r="P633" s="11">
        <f>+(((Table1[[#This Row],[launched_at]]/60)/60)/24)+DATE(1970,1,1)</f>
        <v>43586.208333333328</v>
      </c>
      <c r="Q633" s="11">
        <f>+(((Table1[[#This Row],[deadline]]/60)/60)/24)+DATE(1970,1,1)</f>
        <v>43597.208333333328</v>
      </c>
      <c r="R633" t="b">
        <v>0</v>
      </c>
      <c r="S633" t="b">
        <v>1</v>
      </c>
      <c r="T633" t="s">
        <v>33</v>
      </c>
      <c r="U633" t="str">
        <f>+LEFT(Table1[[#This Row],[category &amp; sub-category]],FIND("/",Table1[[#This Row],[category &amp; sub-category]])-1)</f>
        <v>theater</v>
      </c>
      <c r="V633" t="str">
        <f>+RIGHT(Table1[[#This Row],[category &amp; sub-category]],LEN(Table1[[#This Row],[category &amp; sub-category]])-SEARCH("/",Table1[[#This Row],[category &amp; sub-category]]))</f>
        <v>plays</v>
      </c>
    </row>
    <row r="634" spans="2:22" ht="15.75" customHeight="1" x14ac:dyDescent="0.25">
      <c r="B634">
        <v>631</v>
      </c>
      <c r="C634" t="s">
        <v>1304</v>
      </c>
      <c r="D634" s="3" t="s">
        <v>1305</v>
      </c>
      <c r="E634" s="6">
        <v>59200</v>
      </c>
      <c r="F634" s="6">
        <v>183756</v>
      </c>
      <c r="G634" s="17">
        <f>ROUND(Table1[[#This Row],[pledged]]/Table1[[#This Row],[goal]]*100,2)</f>
        <v>310.39999999999998</v>
      </c>
      <c r="H634" s="5">
        <f>+Table1[[#This Row],[pledged]]/Table1[[#This Row],[goal]]</f>
        <v>3.1039864864864866</v>
      </c>
      <c r="I634" t="s">
        <v>20</v>
      </c>
      <c r="J634">
        <v>3063</v>
      </c>
      <c r="K634" s="8">
        <f>IFERROR(Table1[[#This Row],[pledged]]/Table1[[#This Row],[backers_count]],"NA")</f>
        <v>59.992164544564154</v>
      </c>
      <c r="L634" t="s">
        <v>21</v>
      </c>
      <c r="M634" t="s">
        <v>22</v>
      </c>
      <c r="N634">
        <v>1553576400</v>
      </c>
      <c r="O634">
        <v>1553922000</v>
      </c>
      <c r="P634" s="11">
        <f>+(((Table1[[#This Row],[launched_at]]/60)/60)/24)+DATE(1970,1,1)</f>
        <v>43550.208333333328</v>
      </c>
      <c r="Q634" s="11">
        <f>+(((Table1[[#This Row],[deadline]]/60)/60)/24)+DATE(1970,1,1)</f>
        <v>43554.208333333328</v>
      </c>
      <c r="R634" t="b">
        <v>0</v>
      </c>
      <c r="S634" t="b">
        <v>0</v>
      </c>
      <c r="T634" t="s">
        <v>33</v>
      </c>
      <c r="U634" t="str">
        <f>+LEFT(Table1[[#This Row],[category &amp; sub-category]],FIND("/",Table1[[#This Row],[category &amp; sub-category]])-1)</f>
        <v>theater</v>
      </c>
      <c r="V634" t="str">
        <f>+RIGHT(Table1[[#This Row],[category &amp; sub-category]],LEN(Table1[[#This Row],[category &amp; sub-category]])-SEARCH("/",Table1[[#This Row],[category &amp; sub-category]]))</f>
        <v>plays</v>
      </c>
    </row>
    <row r="635" spans="2:22" ht="15.75" customHeight="1" x14ac:dyDescent="0.25">
      <c r="B635">
        <v>632</v>
      </c>
      <c r="C635" t="s">
        <v>1306</v>
      </c>
      <c r="D635" s="3" t="s">
        <v>1307</v>
      </c>
      <c r="E635" s="6">
        <v>72100</v>
      </c>
      <c r="F635" s="6">
        <v>30902</v>
      </c>
      <c r="G635" s="17">
        <f>ROUND(Table1[[#This Row],[pledged]]/Table1[[#This Row],[goal]]*100,2)</f>
        <v>42.86</v>
      </c>
      <c r="H635" s="5">
        <f>+Table1[[#This Row],[pledged]]/Table1[[#This Row],[goal]]</f>
        <v>0.42859916782246882</v>
      </c>
      <c r="I635" t="s">
        <v>47</v>
      </c>
      <c r="J635">
        <v>278</v>
      </c>
      <c r="K635" s="8">
        <f>IFERROR(Table1[[#This Row],[pledged]]/Table1[[#This Row],[backers_count]],"NA")</f>
        <v>111.15827338129496</v>
      </c>
      <c r="L635" t="s">
        <v>21</v>
      </c>
      <c r="M635" t="s">
        <v>22</v>
      </c>
      <c r="N635">
        <v>1414904400</v>
      </c>
      <c r="O635">
        <v>1416463200</v>
      </c>
      <c r="P635" s="11">
        <f>+(((Table1[[#This Row],[launched_at]]/60)/60)/24)+DATE(1970,1,1)</f>
        <v>41945.208333333336</v>
      </c>
      <c r="Q635" s="11">
        <f>+(((Table1[[#This Row],[deadline]]/60)/60)/24)+DATE(1970,1,1)</f>
        <v>41963.25</v>
      </c>
      <c r="R635" t="b">
        <v>0</v>
      </c>
      <c r="S635" t="b">
        <v>0</v>
      </c>
      <c r="T635" t="s">
        <v>33</v>
      </c>
      <c r="U635" t="str">
        <f>+LEFT(Table1[[#This Row],[category &amp; sub-category]],FIND("/",Table1[[#This Row],[category &amp; sub-category]])-1)</f>
        <v>theater</v>
      </c>
      <c r="V635" t="str">
        <f>+RIGHT(Table1[[#This Row],[category &amp; sub-category]],LEN(Table1[[#This Row],[category &amp; sub-category]])-SEARCH("/",Table1[[#This Row],[category &amp; sub-category]]))</f>
        <v>plays</v>
      </c>
    </row>
    <row r="636" spans="2:22" ht="15.75" customHeight="1" x14ac:dyDescent="0.25">
      <c r="B636">
        <v>633</v>
      </c>
      <c r="C636" t="s">
        <v>1308</v>
      </c>
      <c r="D636" s="3" t="s">
        <v>1309</v>
      </c>
      <c r="E636" s="6">
        <v>6700</v>
      </c>
      <c r="F636" s="6">
        <v>5569</v>
      </c>
      <c r="G636" s="17">
        <f>ROUND(Table1[[#This Row],[pledged]]/Table1[[#This Row],[goal]]*100,2)</f>
        <v>83.12</v>
      </c>
      <c r="H636" s="5">
        <f>+Table1[[#This Row],[pledged]]/Table1[[#This Row],[goal]]</f>
        <v>0.83119402985074631</v>
      </c>
      <c r="I636" t="s">
        <v>14</v>
      </c>
      <c r="J636">
        <v>105</v>
      </c>
      <c r="K636" s="8">
        <f>IFERROR(Table1[[#This Row],[pledged]]/Table1[[#This Row],[backers_count]],"NA")</f>
        <v>53.038095238095238</v>
      </c>
      <c r="L636" t="s">
        <v>21</v>
      </c>
      <c r="M636" t="s">
        <v>22</v>
      </c>
      <c r="N636">
        <v>1446876000</v>
      </c>
      <c r="O636">
        <v>1447221600</v>
      </c>
      <c r="P636" s="11">
        <f>+(((Table1[[#This Row],[launched_at]]/60)/60)/24)+DATE(1970,1,1)</f>
        <v>42315.25</v>
      </c>
      <c r="Q636" s="11">
        <f>+(((Table1[[#This Row],[deadline]]/60)/60)/24)+DATE(1970,1,1)</f>
        <v>42319.25</v>
      </c>
      <c r="R636" t="b">
        <v>0</v>
      </c>
      <c r="S636" t="b">
        <v>0</v>
      </c>
      <c r="T636" t="s">
        <v>71</v>
      </c>
      <c r="U636" t="str">
        <f>+LEFT(Table1[[#This Row],[category &amp; sub-category]],FIND("/",Table1[[#This Row],[category &amp; sub-category]])-1)</f>
        <v>film &amp; video</v>
      </c>
      <c r="V636" t="str">
        <f>+RIGHT(Table1[[#This Row],[category &amp; sub-category]],LEN(Table1[[#This Row],[category &amp; sub-category]])-SEARCH("/",Table1[[#This Row],[category &amp; sub-category]]))</f>
        <v>animation</v>
      </c>
    </row>
    <row r="637" spans="2:22" ht="15.75" customHeight="1" x14ac:dyDescent="0.25">
      <c r="B637">
        <v>634</v>
      </c>
      <c r="C637" t="s">
        <v>1310</v>
      </c>
      <c r="D637" s="3" t="s">
        <v>1311</v>
      </c>
      <c r="E637" s="6">
        <v>118200</v>
      </c>
      <c r="F637" s="6">
        <v>92824</v>
      </c>
      <c r="G637" s="17">
        <f>ROUND(Table1[[#This Row],[pledged]]/Table1[[#This Row],[goal]]*100,2)</f>
        <v>78.53</v>
      </c>
      <c r="H637" s="5">
        <f>+Table1[[#This Row],[pledged]]/Table1[[#This Row],[goal]]</f>
        <v>0.78531302876480547</v>
      </c>
      <c r="I637" t="s">
        <v>74</v>
      </c>
      <c r="J637">
        <v>1658</v>
      </c>
      <c r="K637" s="8">
        <f>IFERROR(Table1[[#This Row],[pledged]]/Table1[[#This Row],[backers_count]],"NA")</f>
        <v>55.985524728588658</v>
      </c>
      <c r="L637" t="s">
        <v>21</v>
      </c>
      <c r="M637" t="s">
        <v>22</v>
      </c>
      <c r="N637">
        <v>1490418000</v>
      </c>
      <c r="O637">
        <v>1491627600</v>
      </c>
      <c r="P637" s="11">
        <f>+(((Table1[[#This Row],[launched_at]]/60)/60)/24)+DATE(1970,1,1)</f>
        <v>42819.208333333328</v>
      </c>
      <c r="Q637" s="11">
        <f>+(((Table1[[#This Row],[deadline]]/60)/60)/24)+DATE(1970,1,1)</f>
        <v>42833.208333333328</v>
      </c>
      <c r="R637" t="b">
        <v>0</v>
      </c>
      <c r="S637" t="b">
        <v>0</v>
      </c>
      <c r="T637" t="s">
        <v>269</v>
      </c>
      <c r="U637" t="str">
        <f>+LEFT(Table1[[#This Row],[category &amp; sub-category]],FIND("/",Table1[[#This Row],[category &amp; sub-category]])-1)</f>
        <v>film &amp; video</v>
      </c>
      <c r="V637" t="str">
        <f>+RIGHT(Table1[[#This Row],[category &amp; sub-category]],LEN(Table1[[#This Row],[category &amp; sub-category]])-SEARCH("/",Table1[[#This Row],[category &amp; sub-category]]))</f>
        <v>television</v>
      </c>
    </row>
    <row r="638" spans="2:22" ht="15.75" customHeight="1" x14ac:dyDescent="0.25">
      <c r="B638">
        <v>635</v>
      </c>
      <c r="C638" t="s">
        <v>1312</v>
      </c>
      <c r="D638" s="3" t="s">
        <v>1313</v>
      </c>
      <c r="E638" s="6">
        <v>139000</v>
      </c>
      <c r="F638" s="6">
        <v>158590</v>
      </c>
      <c r="G638" s="17">
        <f>ROUND(Table1[[#This Row],[pledged]]/Table1[[#This Row],[goal]]*100,2)</f>
        <v>114.09</v>
      </c>
      <c r="H638" s="5">
        <f>+Table1[[#This Row],[pledged]]/Table1[[#This Row],[goal]]</f>
        <v>1.1409352517985611</v>
      </c>
      <c r="I638" t="s">
        <v>20</v>
      </c>
      <c r="J638">
        <v>2266</v>
      </c>
      <c r="K638" s="8">
        <f>IFERROR(Table1[[#This Row],[pledged]]/Table1[[#This Row],[backers_count]],"NA")</f>
        <v>69.986760812003524</v>
      </c>
      <c r="L638" t="s">
        <v>21</v>
      </c>
      <c r="M638" t="s">
        <v>22</v>
      </c>
      <c r="N638">
        <v>1360389600</v>
      </c>
      <c r="O638">
        <v>1363150800</v>
      </c>
      <c r="P638" s="11">
        <f>+(((Table1[[#This Row],[launched_at]]/60)/60)/24)+DATE(1970,1,1)</f>
        <v>41314.25</v>
      </c>
      <c r="Q638" s="11">
        <f>+(((Table1[[#This Row],[deadline]]/60)/60)/24)+DATE(1970,1,1)</f>
        <v>41346.208333333336</v>
      </c>
      <c r="R638" t="b">
        <v>0</v>
      </c>
      <c r="S638" t="b">
        <v>0</v>
      </c>
      <c r="T638" t="s">
        <v>269</v>
      </c>
      <c r="U638" t="str">
        <f>+LEFT(Table1[[#This Row],[category &amp; sub-category]],FIND("/",Table1[[#This Row],[category &amp; sub-category]])-1)</f>
        <v>film &amp; video</v>
      </c>
      <c r="V638" t="str">
        <f>+RIGHT(Table1[[#This Row],[category &amp; sub-category]],LEN(Table1[[#This Row],[category &amp; sub-category]])-SEARCH("/",Table1[[#This Row],[category &amp; sub-category]]))</f>
        <v>television</v>
      </c>
    </row>
    <row r="639" spans="2:22" ht="15.75" customHeight="1" x14ac:dyDescent="0.25">
      <c r="B639">
        <v>636</v>
      </c>
      <c r="C639" t="s">
        <v>1314</v>
      </c>
      <c r="D639" s="3" t="s">
        <v>1315</v>
      </c>
      <c r="E639" s="6">
        <v>197700</v>
      </c>
      <c r="F639" s="6">
        <v>127591</v>
      </c>
      <c r="G639" s="17">
        <f>ROUND(Table1[[#This Row],[pledged]]/Table1[[#This Row],[goal]]*100,2)</f>
        <v>64.540000000000006</v>
      </c>
      <c r="H639" s="5">
        <f>+Table1[[#This Row],[pledged]]/Table1[[#This Row],[goal]]</f>
        <v>0.64537683358624176</v>
      </c>
      <c r="I639" t="s">
        <v>14</v>
      </c>
      <c r="J639">
        <v>2604</v>
      </c>
      <c r="K639" s="8">
        <f>IFERROR(Table1[[#This Row],[pledged]]/Table1[[#This Row],[backers_count]],"NA")</f>
        <v>48.998079877112133</v>
      </c>
      <c r="L639" t="s">
        <v>36</v>
      </c>
      <c r="M639" t="s">
        <v>37</v>
      </c>
      <c r="N639">
        <v>1326866400</v>
      </c>
      <c r="O639">
        <v>1330754400</v>
      </c>
      <c r="P639" s="11">
        <f>+(((Table1[[#This Row],[launched_at]]/60)/60)/24)+DATE(1970,1,1)</f>
        <v>40926.25</v>
      </c>
      <c r="Q639" s="11">
        <f>+(((Table1[[#This Row],[deadline]]/60)/60)/24)+DATE(1970,1,1)</f>
        <v>40971.25</v>
      </c>
      <c r="R639" t="b">
        <v>0</v>
      </c>
      <c r="S639" t="b">
        <v>1</v>
      </c>
      <c r="T639" t="s">
        <v>71</v>
      </c>
      <c r="U639" t="str">
        <f>+LEFT(Table1[[#This Row],[category &amp; sub-category]],FIND("/",Table1[[#This Row],[category &amp; sub-category]])-1)</f>
        <v>film &amp; video</v>
      </c>
      <c r="V639" t="str">
        <f>+RIGHT(Table1[[#This Row],[category &amp; sub-category]],LEN(Table1[[#This Row],[category &amp; sub-category]])-SEARCH("/",Table1[[#This Row],[category &amp; sub-category]]))</f>
        <v>animation</v>
      </c>
    </row>
    <row r="640" spans="2:22" ht="15.75" customHeight="1" x14ac:dyDescent="0.25">
      <c r="B640">
        <v>637</v>
      </c>
      <c r="C640" t="s">
        <v>1316</v>
      </c>
      <c r="D640" s="3" t="s">
        <v>1317</v>
      </c>
      <c r="E640" s="6">
        <v>8500</v>
      </c>
      <c r="F640" s="6">
        <v>6750</v>
      </c>
      <c r="G640" s="17">
        <f>ROUND(Table1[[#This Row],[pledged]]/Table1[[#This Row],[goal]]*100,2)</f>
        <v>79.41</v>
      </c>
      <c r="H640" s="5">
        <f>+Table1[[#This Row],[pledged]]/Table1[[#This Row],[goal]]</f>
        <v>0.79411764705882348</v>
      </c>
      <c r="I640" t="s">
        <v>14</v>
      </c>
      <c r="J640">
        <v>65</v>
      </c>
      <c r="K640" s="8">
        <f>IFERROR(Table1[[#This Row],[pledged]]/Table1[[#This Row],[backers_count]],"NA")</f>
        <v>103.84615384615384</v>
      </c>
      <c r="L640" t="s">
        <v>21</v>
      </c>
      <c r="M640" t="s">
        <v>22</v>
      </c>
      <c r="N640">
        <v>1479103200</v>
      </c>
      <c r="O640">
        <v>1479794400</v>
      </c>
      <c r="P640" s="11">
        <f>+(((Table1[[#This Row],[launched_at]]/60)/60)/24)+DATE(1970,1,1)</f>
        <v>42688.25</v>
      </c>
      <c r="Q640" s="11">
        <f>+(((Table1[[#This Row],[deadline]]/60)/60)/24)+DATE(1970,1,1)</f>
        <v>42696.25</v>
      </c>
      <c r="R640" t="b">
        <v>0</v>
      </c>
      <c r="S640" t="b">
        <v>0</v>
      </c>
      <c r="T640" t="s">
        <v>33</v>
      </c>
      <c r="U640" t="str">
        <f>+LEFT(Table1[[#This Row],[category &amp; sub-category]],FIND("/",Table1[[#This Row],[category &amp; sub-category]])-1)</f>
        <v>theater</v>
      </c>
      <c r="V640" t="str">
        <f>+RIGHT(Table1[[#This Row],[category &amp; sub-category]],LEN(Table1[[#This Row],[category &amp; sub-category]])-SEARCH("/",Table1[[#This Row],[category &amp; sub-category]]))</f>
        <v>plays</v>
      </c>
    </row>
    <row r="641" spans="2:22" ht="15.75" customHeight="1" x14ac:dyDescent="0.25">
      <c r="B641">
        <v>638</v>
      </c>
      <c r="C641" t="s">
        <v>1318</v>
      </c>
      <c r="D641" s="3" t="s">
        <v>1319</v>
      </c>
      <c r="E641" s="6">
        <v>81600</v>
      </c>
      <c r="F641" s="6">
        <v>9318</v>
      </c>
      <c r="G641" s="17">
        <f>ROUND(Table1[[#This Row],[pledged]]/Table1[[#This Row],[goal]]*100,2)</f>
        <v>11.42</v>
      </c>
      <c r="H641" s="5">
        <f>+Table1[[#This Row],[pledged]]/Table1[[#This Row],[goal]]</f>
        <v>0.11419117647058824</v>
      </c>
      <c r="I641" t="s">
        <v>14</v>
      </c>
      <c r="J641">
        <v>94</v>
      </c>
      <c r="K641" s="8">
        <f>IFERROR(Table1[[#This Row],[pledged]]/Table1[[#This Row],[backers_count]],"NA")</f>
        <v>99.127659574468083</v>
      </c>
      <c r="L641" t="s">
        <v>21</v>
      </c>
      <c r="M641" t="s">
        <v>22</v>
      </c>
      <c r="N641">
        <v>1280206800</v>
      </c>
      <c r="O641">
        <v>1281243600</v>
      </c>
      <c r="P641" s="11">
        <f>+(((Table1[[#This Row],[launched_at]]/60)/60)/24)+DATE(1970,1,1)</f>
        <v>40386.208333333336</v>
      </c>
      <c r="Q641" s="11">
        <f>+(((Table1[[#This Row],[deadline]]/60)/60)/24)+DATE(1970,1,1)</f>
        <v>40398.208333333336</v>
      </c>
      <c r="R641" t="b">
        <v>0</v>
      </c>
      <c r="S641" t="b">
        <v>1</v>
      </c>
      <c r="T641" t="s">
        <v>33</v>
      </c>
      <c r="U641" t="str">
        <f>+LEFT(Table1[[#This Row],[category &amp; sub-category]],FIND("/",Table1[[#This Row],[category &amp; sub-category]])-1)</f>
        <v>theater</v>
      </c>
      <c r="V641" t="str">
        <f>+RIGHT(Table1[[#This Row],[category &amp; sub-category]],LEN(Table1[[#This Row],[category &amp; sub-category]])-SEARCH("/",Table1[[#This Row],[category &amp; sub-category]]))</f>
        <v>plays</v>
      </c>
    </row>
    <row r="642" spans="2:22" ht="15.75" customHeight="1" x14ac:dyDescent="0.25">
      <c r="B642">
        <v>639</v>
      </c>
      <c r="C642" t="s">
        <v>1320</v>
      </c>
      <c r="D642" s="3" t="s">
        <v>1321</v>
      </c>
      <c r="E642" s="6">
        <v>8600</v>
      </c>
      <c r="F642" s="6">
        <v>4832</v>
      </c>
      <c r="G642" s="17">
        <f>ROUND(Table1[[#This Row],[pledged]]/Table1[[#This Row],[goal]]*100,2)</f>
        <v>56.19</v>
      </c>
      <c r="H642" s="5">
        <f>+Table1[[#This Row],[pledged]]/Table1[[#This Row],[goal]]</f>
        <v>0.56186046511627907</v>
      </c>
      <c r="I642" t="s">
        <v>47</v>
      </c>
      <c r="J642">
        <v>45</v>
      </c>
      <c r="K642" s="8">
        <f>IFERROR(Table1[[#This Row],[pledged]]/Table1[[#This Row],[backers_count]],"NA")</f>
        <v>107.37777777777778</v>
      </c>
      <c r="L642" t="s">
        <v>21</v>
      </c>
      <c r="M642" t="s">
        <v>22</v>
      </c>
      <c r="N642">
        <v>1532754000</v>
      </c>
      <c r="O642">
        <v>1532754000</v>
      </c>
      <c r="P642" s="11">
        <f>+(((Table1[[#This Row],[launched_at]]/60)/60)/24)+DATE(1970,1,1)</f>
        <v>43309.208333333328</v>
      </c>
      <c r="Q642" s="11">
        <f>+(((Table1[[#This Row],[deadline]]/60)/60)/24)+DATE(1970,1,1)</f>
        <v>43309.208333333328</v>
      </c>
      <c r="R642" t="b">
        <v>0</v>
      </c>
      <c r="S642" t="b">
        <v>1</v>
      </c>
      <c r="T642" t="s">
        <v>53</v>
      </c>
      <c r="U642" t="str">
        <f>+LEFT(Table1[[#This Row],[category &amp; sub-category]],FIND("/",Table1[[#This Row],[category &amp; sub-category]])-1)</f>
        <v>film &amp; video</v>
      </c>
      <c r="V642" t="str">
        <f>+RIGHT(Table1[[#This Row],[category &amp; sub-category]],LEN(Table1[[#This Row],[category &amp; sub-category]])-SEARCH("/",Table1[[#This Row],[category &amp; sub-category]]))</f>
        <v>drama</v>
      </c>
    </row>
    <row r="643" spans="2:22" ht="15.75" customHeight="1" x14ac:dyDescent="0.25">
      <c r="B643">
        <v>640</v>
      </c>
      <c r="C643" t="s">
        <v>1322</v>
      </c>
      <c r="D643" s="3" t="s">
        <v>1323</v>
      </c>
      <c r="E643" s="6">
        <v>119800</v>
      </c>
      <c r="F643" s="6">
        <v>19769</v>
      </c>
      <c r="G643" s="17">
        <f>ROUND(Table1[[#This Row],[pledged]]/Table1[[#This Row],[goal]]*100,2)</f>
        <v>16.5</v>
      </c>
      <c r="H643" s="5">
        <f>+Table1[[#This Row],[pledged]]/Table1[[#This Row],[goal]]</f>
        <v>0.16501669449081802</v>
      </c>
      <c r="I643" t="s">
        <v>14</v>
      </c>
      <c r="J643">
        <v>257</v>
      </c>
      <c r="K643" s="8">
        <f>IFERROR(Table1[[#This Row],[pledged]]/Table1[[#This Row],[backers_count]],"NA")</f>
        <v>76.922178988326849</v>
      </c>
      <c r="L643" t="s">
        <v>21</v>
      </c>
      <c r="M643" t="s">
        <v>22</v>
      </c>
      <c r="N643">
        <v>1453096800</v>
      </c>
      <c r="O643">
        <v>1453356000</v>
      </c>
      <c r="P643" s="11">
        <f>+(((Table1[[#This Row],[launched_at]]/60)/60)/24)+DATE(1970,1,1)</f>
        <v>42387.25</v>
      </c>
      <c r="Q643" s="11">
        <f>+(((Table1[[#This Row],[deadline]]/60)/60)/24)+DATE(1970,1,1)</f>
        <v>42390.25</v>
      </c>
      <c r="R643" t="b">
        <v>0</v>
      </c>
      <c r="S643" t="b">
        <v>0</v>
      </c>
      <c r="T643" t="s">
        <v>33</v>
      </c>
      <c r="U643" t="str">
        <f>+LEFT(Table1[[#This Row],[category &amp; sub-category]],FIND("/",Table1[[#This Row],[category &amp; sub-category]])-1)</f>
        <v>theater</v>
      </c>
      <c r="V643" t="str">
        <f>+RIGHT(Table1[[#This Row],[category &amp; sub-category]],LEN(Table1[[#This Row],[category &amp; sub-category]])-SEARCH("/",Table1[[#This Row],[category &amp; sub-category]]))</f>
        <v>plays</v>
      </c>
    </row>
    <row r="644" spans="2:22" ht="15.75" customHeight="1" x14ac:dyDescent="0.25">
      <c r="B644">
        <v>641</v>
      </c>
      <c r="C644" t="s">
        <v>1324</v>
      </c>
      <c r="D644" s="3" t="s">
        <v>1325</v>
      </c>
      <c r="E644" s="6">
        <v>9400</v>
      </c>
      <c r="F644" s="6">
        <v>11277</v>
      </c>
      <c r="G644" s="17">
        <f>ROUND(Table1[[#This Row],[pledged]]/Table1[[#This Row],[goal]]*100,2)</f>
        <v>119.97</v>
      </c>
      <c r="H644" s="5">
        <f>+Table1[[#This Row],[pledged]]/Table1[[#This Row],[goal]]</f>
        <v>1.1996808510638297</v>
      </c>
      <c r="I644" t="s">
        <v>20</v>
      </c>
      <c r="J644">
        <v>194</v>
      </c>
      <c r="K644" s="8">
        <f>IFERROR(Table1[[#This Row],[pledged]]/Table1[[#This Row],[backers_count]],"NA")</f>
        <v>58.128865979381445</v>
      </c>
      <c r="L644" t="s">
        <v>98</v>
      </c>
      <c r="M644" t="s">
        <v>99</v>
      </c>
      <c r="N644">
        <v>1487570400</v>
      </c>
      <c r="O644">
        <v>1489986000</v>
      </c>
      <c r="P644" s="11">
        <f>+(((Table1[[#This Row],[launched_at]]/60)/60)/24)+DATE(1970,1,1)</f>
        <v>42786.25</v>
      </c>
      <c r="Q644" s="11">
        <f>+(((Table1[[#This Row],[deadline]]/60)/60)/24)+DATE(1970,1,1)</f>
        <v>42814.208333333328</v>
      </c>
      <c r="R644" t="b">
        <v>0</v>
      </c>
      <c r="S644" t="b">
        <v>0</v>
      </c>
      <c r="T644" t="s">
        <v>33</v>
      </c>
      <c r="U644" t="str">
        <f>+LEFT(Table1[[#This Row],[category &amp; sub-category]],FIND("/",Table1[[#This Row],[category &amp; sub-category]])-1)</f>
        <v>theater</v>
      </c>
      <c r="V644" t="str">
        <f>+RIGHT(Table1[[#This Row],[category &amp; sub-category]],LEN(Table1[[#This Row],[category &amp; sub-category]])-SEARCH("/",Table1[[#This Row],[category &amp; sub-category]]))</f>
        <v>plays</v>
      </c>
    </row>
    <row r="645" spans="2:22" ht="15.75" customHeight="1" x14ac:dyDescent="0.25">
      <c r="B645">
        <v>642</v>
      </c>
      <c r="C645" t="s">
        <v>1326</v>
      </c>
      <c r="D645" s="3" t="s">
        <v>1327</v>
      </c>
      <c r="E645" s="6">
        <v>9200</v>
      </c>
      <c r="F645" s="6">
        <v>13382</v>
      </c>
      <c r="G645" s="17">
        <f>ROUND(Table1[[#This Row],[pledged]]/Table1[[#This Row],[goal]]*100,2)</f>
        <v>145.46</v>
      </c>
      <c r="H645" s="5">
        <f>+Table1[[#This Row],[pledged]]/Table1[[#This Row],[goal]]</f>
        <v>1.4545652173913044</v>
      </c>
      <c r="I645" t="s">
        <v>20</v>
      </c>
      <c r="J645">
        <v>129</v>
      </c>
      <c r="K645" s="8">
        <f>IFERROR(Table1[[#This Row],[pledged]]/Table1[[#This Row],[backers_count]],"NA")</f>
        <v>103.73643410852713</v>
      </c>
      <c r="L645" t="s">
        <v>15</v>
      </c>
      <c r="M645" t="s">
        <v>16</v>
      </c>
      <c r="N645">
        <v>1545026400</v>
      </c>
      <c r="O645">
        <v>1545804000</v>
      </c>
      <c r="P645" s="11">
        <f>+(((Table1[[#This Row],[launched_at]]/60)/60)/24)+DATE(1970,1,1)</f>
        <v>43451.25</v>
      </c>
      <c r="Q645" s="11">
        <f>+(((Table1[[#This Row],[deadline]]/60)/60)/24)+DATE(1970,1,1)</f>
        <v>43460.25</v>
      </c>
      <c r="R645" t="b">
        <v>0</v>
      </c>
      <c r="S645" t="b">
        <v>0</v>
      </c>
      <c r="T645" t="s">
        <v>65</v>
      </c>
      <c r="U645" t="str">
        <f>+LEFT(Table1[[#This Row],[category &amp; sub-category]],FIND("/",Table1[[#This Row],[category &amp; sub-category]])-1)</f>
        <v>technology</v>
      </c>
      <c r="V645" t="str">
        <f>+RIGHT(Table1[[#This Row],[category &amp; sub-category]],LEN(Table1[[#This Row],[category &amp; sub-category]])-SEARCH("/",Table1[[#This Row],[category &amp; sub-category]]))</f>
        <v>wearables</v>
      </c>
    </row>
    <row r="646" spans="2:22" ht="15.75" customHeight="1" x14ac:dyDescent="0.25">
      <c r="B646">
        <v>643</v>
      </c>
      <c r="C646" t="s">
        <v>1328</v>
      </c>
      <c r="D646" s="3" t="s">
        <v>1329</v>
      </c>
      <c r="E646" s="6">
        <v>14900</v>
      </c>
      <c r="F646" s="6">
        <v>32986</v>
      </c>
      <c r="G646" s="17">
        <f>ROUND(Table1[[#This Row],[pledged]]/Table1[[#This Row],[goal]]*100,2)</f>
        <v>221.38</v>
      </c>
      <c r="H646" s="5">
        <f>+Table1[[#This Row],[pledged]]/Table1[[#This Row],[goal]]</f>
        <v>2.2138255033557046</v>
      </c>
      <c r="I646" t="s">
        <v>20</v>
      </c>
      <c r="J646">
        <v>375</v>
      </c>
      <c r="K646" s="8">
        <f>IFERROR(Table1[[#This Row],[pledged]]/Table1[[#This Row],[backers_count]],"NA")</f>
        <v>87.962666666666664</v>
      </c>
      <c r="L646" t="s">
        <v>21</v>
      </c>
      <c r="M646" t="s">
        <v>22</v>
      </c>
      <c r="N646">
        <v>1488348000</v>
      </c>
      <c r="O646">
        <v>1489899600</v>
      </c>
      <c r="P646" s="11">
        <f>+(((Table1[[#This Row],[launched_at]]/60)/60)/24)+DATE(1970,1,1)</f>
        <v>42795.25</v>
      </c>
      <c r="Q646" s="11">
        <f>+(((Table1[[#This Row],[deadline]]/60)/60)/24)+DATE(1970,1,1)</f>
        <v>42813.208333333328</v>
      </c>
      <c r="R646" t="b">
        <v>0</v>
      </c>
      <c r="S646" t="b">
        <v>0</v>
      </c>
      <c r="T646" t="s">
        <v>33</v>
      </c>
      <c r="U646" t="str">
        <f>+LEFT(Table1[[#This Row],[category &amp; sub-category]],FIND("/",Table1[[#This Row],[category &amp; sub-category]])-1)</f>
        <v>theater</v>
      </c>
      <c r="V646" t="str">
        <f>+RIGHT(Table1[[#This Row],[category &amp; sub-category]],LEN(Table1[[#This Row],[category &amp; sub-category]])-SEARCH("/",Table1[[#This Row],[category &amp; sub-category]]))</f>
        <v>plays</v>
      </c>
    </row>
    <row r="647" spans="2:22" ht="15.75" customHeight="1" x14ac:dyDescent="0.25">
      <c r="B647">
        <v>644</v>
      </c>
      <c r="C647" t="s">
        <v>1330</v>
      </c>
      <c r="D647" s="3" t="s">
        <v>1331</v>
      </c>
      <c r="E647" s="6">
        <v>169400</v>
      </c>
      <c r="F647" s="6">
        <v>81984</v>
      </c>
      <c r="G647" s="17">
        <f>ROUND(Table1[[#This Row],[pledged]]/Table1[[#This Row],[goal]]*100,2)</f>
        <v>48.4</v>
      </c>
      <c r="H647" s="5">
        <f>+Table1[[#This Row],[pledged]]/Table1[[#This Row],[goal]]</f>
        <v>0.48396694214876035</v>
      </c>
      <c r="I647" t="s">
        <v>14</v>
      </c>
      <c r="J647">
        <v>2928</v>
      </c>
      <c r="K647" s="8">
        <f>IFERROR(Table1[[#This Row],[pledged]]/Table1[[#This Row],[backers_count]],"NA")</f>
        <v>28</v>
      </c>
      <c r="L647" t="s">
        <v>15</v>
      </c>
      <c r="M647" t="s">
        <v>16</v>
      </c>
      <c r="N647">
        <v>1545112800</v>
      </c>
      <c r="O647">
        <v>1546495200</v>
      </c>
      <c r="P647" s="11">
        <f>+(((Table1[[#This Row],[launched_at]]/60)/60)/24)+DATE(1970,1,1)</f>
        <v>43452.25</v>
      </c>
      <c r="Q647" s="11">
        <f>+(((Table1[[#This Row],[deadline]]/60)/60)/24)+DATE(1970,1,1)</f>
        <v>43468.25</v>
      </c>
      <c r="R647" t="b">
        <v>0</v>
      </c>
      <c r="S647" t="b">
        <v>0</v>
      </c>
      <c r="T647" t="s">
        <v>33</v>
      </c>
      <c r="U647" t="str">
        <f>+LEFT(Table1[[#This Row],[category &amp; sub-category]],FIND("/",Table1[[#This Row],[category &amp; sub-category]])-1)</f>
        <v>theater</v>
      </c>
      <c r="V647" t="str">
        <f>+RIGHT(Table1[[#This Row],[category &amp; sub-category]],LEN(Table1[[#This Row],[category &amp; sub-category]])-SEARCH("/",Table1[[#This Row],[category &amp; sub-category]]))</f>
        <v>plays</v>
      </c>
    </row>
    <row r="648" spans="2:22" ht="15.75" customHeight="1" x14ac:dyDescent="0.25">
      <c r="B648">
        <v>645</v>
      </c>
      <c r="C648" t="s">
        <v>1332</v>
      </c>
      <c r="D648" s="3" t="s">
        <v>1333</v>
      </c>
      <c r="E648" s="6">
        <v>192100</v>
      </c>
      <c r="F648" s="6">
        <v>178483</v>
      </c>
      <c r="G648" s="17">
        <f>ROUND(Table1[[#This Row],[pledged]]/Table1[[#This Row],[goal]]*100,2)</f>
        <v>92.91</v>
      </c>
      <c r="H648" s="5">
        <f>+Table1[[#This Row],[pledged]]/Table1[[#This Row],[goal]]</f>
        <v>0.92911504424778757</v>
      </c>
      <c r="I648" t="s">
        <v>14</v>
      </c>
      <c r="J648">
        <v>4697</v>
      </c>
      <c r="K648" s="8">
        <f>IFERROR(Table1[[#This Row],[pledged]]/Table1[[#This Row],[backers_count]],"NA")</f>
        <v>37.999361294443261</v>
      </c>
      <c r="L648" t="s">
        <v>21</v>
      </c>
      <c r="M648" t="s">
        <v>22</v>
      </c>
      <c r="N648">
        <v>1537938000</v>
      </c>
      <c r="O648">
        <v>1539752400</v>
      </c>
      <c r="P648" s="11">
        <f>+(((Table1[[#This Row],[launched_at]]/60)/60)/24)+DATE(1970,1,1)</f>
        <v>43369.208333333328</v>
      </c>
      <c r="Q648" s="11">
        <f>+(((Table1[[#This Row],[deadline]]/60)/60)/24)+DATE(1970,1,1)</f>
        <v>43390.208333333328</v>
      </c>
      <c r="R648" t="b">
        <v>0</v>
      </c>
      <c r="S648" t="b">
        <v>1</v>
      </c>
      <c r="T648" t="s">
        <v>23</v>
      </c>
      <c r="U648" t="str">
        <f>+LEFT(Table1[[#This Row],[category &amp; sub-category]],FIND("/",Table1[[#This Row],[category &amp; sub-category]])-1)</f>
        <v>music</v>
      </c>
      <c r="V648" t="str">
        <f>+RIGHT(Table1[[#This Row],[category &amp; sub-category]],LEN(Table1[[#This Row],[category &amp; sub-category]])-SEARCH("/",Table1[[#This Row],[category &amp; sub-category]]))</f>
        <v>rock</v>
      </c>
    </row>
    <row r="649" spans="2:22" ht="15.75" customHeight="1" x14ac:dyDescent="0.25">
      <c r="B649">
        <v>646</v>
      </c>
      <c r="C649" t="s">
        <v>1334</v>
      </c>
      <c r="D649" s="3" t="s">
        <v>1335</v>
      </c>
      <c r="E649" s="6">
        <v>98700</v>
      </c>
      <c r="F649" s="6">
        <v>87448</v>
      </c>
      <c r="G649" s="17">
        <f>ROUND(Table1[[#This Row],[pledged]]/Table1[[#This Row],[goal]]*100,2)</f>
        <v>88.6</v>
      </c>
      <c r="H649" s="5">
        <f>+Table1[[#This Row],[pledged]]/Table1[[#This Row],[goal]]</f>
        <v>0.88599797365754818</v>
      </c>
      <c r="I649" t="s">
        <v>14</v>
      </c>
      <c r="J649">
        <v>2915</v>
      </c>
      <c r="K649" s="8">
        <f>IFERROR(Table1[[#This Row],[pledged]]/Table1[[#This Row],[backers_count]],"NA")</f>
        <v>29.999313893653515</v>
      </c>
      <c r="L649" t="s">
        <v>21</v>
      </c>
      <c r="M649" t="s">
        <v>22</v>
      </c>
      <c r="N649">
        <v>1363150800</v>
      </c>
      <c r="O649">
        <v>1364101200</v>
      </c>
      <c r="P649" s="11">
        <f>+(((Table1[[#This Row],[launched_at]]/60)/60)/24)+DATE(1970,1,1)</f>
        <v>41346.208333333336</v>
      </c>
      <c r="Q649" s="11">
        <f>+(((Table1[[#This Row],[deadline]]/60)/60)/24)+DATE(1970,1,1)</f>
        <v>41357.208333333336</v>
      </c>
      <c r="R649" t="b">
        <v>0</v>
      </c>
      <c r="S649" t="b">
        <v>0</v>
      </c>
      <c r="T649" t="s">
        <v>89</v>
      </c>
      <c r="U649" t="str">
        <f>+LEFT(Table1[[#This Row],[category &amp; sub-category]],FIND("/",Table1[[#This Row],[category &amp; sub-category]])-1)</f>
        <v>games</v>
      </c>
      <c r="V649" t="str">
        <f>+RIGHT(Table1[[#This Row],[category &amp; sub-category]],LEN(Table1[[#This Row],[category &amp; sub-category]])-SEARCH("/",Table1[[#This Row],[category &amp; sub-category]]))</f>
        <v>video games</v>
      </c>
    </row>
    <row r="650" spans="2:22" ht="15.75" customHeight="1" x14ac:dyDescent="0.25">
      <c r="B650">
        <v>647</v>
      </c>
      <c r="C650" t="s">
        <v>1336</v>
      </c>
      <c r="D650" s="3" t="s">
        <v>1337</v>
      </c>
      <c r="E650" s="6">
        <v>4500</v>
      </c>
      <c r="F650" s="6">
        <v>1863</v>
      </c>
      <c r="G650" s="17">
        <f>ROUND(Table1[[#This Row],[pledged]]/Table1[[#This Row],[goal]]*100,2)</f>
        <v>41.4</v>
      </c>
      <c r="H650" s="5">
        <f>+Table1[[#This Row],[pledged]]/Table1[[#This Row],[goal]]</f>
        <v>0.41399999999999998</v>
      </c>
      <c r="I650" t="s">
        <v>14</v>
      </c>
      <c r="J650">
        <v>18</v>
      </c>
      <c r="K650" s="8">
        <f>IFERROR(Table1[[#This Row],[pledged]]/Table1[[#This Row],[backers_count]],"NA")</f>
        <v>103.5</v>
      </c>
      <c r="L650" t="s">
        <v>21</v>
      </c>
      <c r="M650" t="s">
        <v>22</v>
      </c>
      <c r="N650">
        <v>1523250000</v>
      </c>
      <c r="O650">
        <v>1525323600</v>
      </c>
      <c r="P650" s="11">
        <f>+(((Table1[[#This Row],[launched_at]]/60)/60)/24)+DATE(1970,1,1)</f>
        <v>43199.208333333328</v>
      </c>
      <c r="Q650" s="11">
        <f>+(((Table1[[#This Row],[deadline]]/60)/60)/24)+DATE(1970,1,1)</f>
        <v>43223.208333333328</v>
      </c>
      <c r="R650" t="b">
        <v>0</v>
      </c>
      <c r="S650" t="b">
        <v>0</v>
      </c>
      <c r="T650" t="s">
        <v>206</v>
      </c>
      <c r="U650" t="str">
        <f>+LEFT(Table1[[#This Row],[category &amp; sub-category]],FIND("/",Table1[[#This Row],[category &amp; sub-category]])-1)</f>
        <v>publishing</v>
      </c>
      <c r="V650" t="str">
        <f>+RIGHT(Table1[[#This Row],[category &amp; sub-category]],LEN(Table1[[#This Row],[category &amp; sub-category]])-SEARCH("/",Table1[[#This Row],[category &amp; sub-category]]))</f>
        <v>translations</v>
      </c>
    </row>
    <row r="651" spans="2:22" ht="15.75" customHeight="1" x14ac:dyDescent="0.25">
      <c r="B651">
        <v>648</v>
      </c>
      <c r="C651" t="s">
        <v>1338</v>
      </c>
      <c r="D651" s="3" t="s">
        <v>1339</v>
      </c>
      <c r="E651" s="6">
        <v>98600</v>
      </c>
      <c r="F651" s="6">
        <v>62174</v>
      </c>
      <c r="G651" s="17">
        <f>ROUND(Table1[[#This Row],[pledged]]/Table1[[#This Row],[goal]]*100,2)</f>
        <v>63.06</v>
      </c>
      <c r="H651" s="5">
        <f>+Table1[[#This Row],[pledged]]/Table1[[#This Row],[goal]]</f>
        <v>0.63056795131845844</v>
      </c>
      <c r="I651" t="s">
        <v>74</v>
      </c>
      <c r="J651">
        <v>723</v>
      </c>
      <c r="K651" s="8">
        <f>IFERROR(Table1[[#This Row],[pledged]]/Table1[[#This Row],[backers_count]],"NA")</f>
        <v>85.994467496542185</v>
      </c>
      <c r="L651" t="s">
        <v>21</v>
      </c>
      <c r="M651" t="s">
        <v>22</v>
      </c>
      <c r="N651">
        <v>1499317200</v>
      </c>
      <c r="O651">
        <v>1500872400</v>
      </c>
      <c r="P651" s="11">
        <f>+(((Table1[[#This Row],[launched_at]]/60)/60)/24)+DATE(1970,1,1)</f>
        <v>42922.208333333328</v>
      </c>
      <c r="Q651" s="11">
        <f>+(((Table1[[#This Row],[deadline]]/60)/60)/24)+DATE(1970,1,1)</f>
        <v>42940.208333333328</v>
      </c>
      <c r="R651" t="b">
        <v>1</v>
      </c>
      <c r="S651" t="b">
        <v>0</v>
      </c>
      <c r="T651" t="s">
        <v>17</v>
      </c>
      <c r="U651" t="str">
        <f>+LEFT(Table1[[#This Row],[category &amp; sub-category]],FIND("/",Table1[[#This Row],[category &amp; sub-category]])-1)</f>
        <v>food</v>
      </c>
      <c r="V651" t="str">
        <f>+RIGHT(Table1[[#This Row],[category &amp; sub-category]],LEN(Table1[[#This Row],[category &amp; sub-category]])-SEARCH("/",Table1[[#This Row],[category &amp; sub-category]]))</f>
        <v>food trucks</v>
      </c>
    </row>
    <row r="652" spans="2:22" ht="15.75" customHeight="1" x14ac:dyDescent="0.25">
      <c r="B652">
        <v>649</v>
      </c>
      <c r="C652" t="s">
        <v>1340</v>
      </c>
      <c r="D652" s="3" t="s">
        <v>1341</v>
      </c>
      <c r="E652" s="6">
        <v>121700</v>
      </c>
      <c r="F652" s="6">
        <v>59003</v>
      </c>
      <c r="G652" s="17">
        <f>ROUND(Table1[[#This Row],[pledged]]/Table1[[#This Row],[goal]]*100,2)</f>
        <v>48.48</v>
      </c>
      <c r="H652" s="5">
        <f>+Table1[[#This Row],[pledged]]/Table1[[#This Row],[goal]]</f>
        <v>0.48482333607230893</v>
      </c>
      <c r="I652" t="s">
        <v>14</v>
      </c>
      <c r="J652">
        <v>602</v>
      </c>
      <c r="K652" s="8">
        <f>IFERROR(Table1[[#This Row],[pledged]]/Table1[[#This Row],[backers_count]],"NA")</f>
        <v>98.011627906976742</v>
      </c>
      <c r="L652" t="s">
        <v>98</v>
      </c>
      <c r="M652" t="s">
        <v>99</v>
      </c>
      <c r="N652">
        <v>1287550800</v>
      </c>
      <c r="O652">
        <v>1288501200</v>
      </c>
      <c r="P652" s="11">
        <f>+(((Table1[[#This Row],[launched_at]]/60)/60)/24)+DATE(1970,1,1)</f>
        <v>40471.208333333336</v>
      </c>
      <c r="Q652" s="11">
        <f>+(((Table1[[#This Row],[deadline]]/60)/60)/24)+DATE(1970,1,1)</f>
        <v>40482.208333333336</v>
      </c>
      <c r="R652" t="b">
        <v>1</v>
      </c>
      <c r="S652" t="b">
        <v>1</v>
      </c>
      <c r="T652" t="s">
        <v>33</v>
      </c>
      <c r="U652" t="str">
        <f>+LEFT(Table1[[#This Row],[category &amp; sub-category]],FIND("/",Table1[[#This Row],[category &amp; sub-category]])-1)</f>
        <v>theater</v>
      </c>
      <c r="V652" t="str">
        <f>+RIGHT(Table1[[#This Row],[category &amp; sub-category]],LEN(Table1[[#This Row],[category &amp; sub-category]])-SEARCH("/",Table1[[#This Row],[category &amp; sub-category]]))</f>
        <v>plays</v>
      </c>
    </row>
    <row r="653" spans="2:22" ht="15.75" customHeight="1" x14ac:dyDescent="0.25">
      <c r="B653">
        <v>650</v>
      </c>
      <c r="C653" t="s">
        <v>1342</v>
      </c>
      <c r="D653" s="3" t="s">
        <v>1343</v>
      </c>
      <c r="E653" s="6">
        <v>100</v>
      </c>
      <c r="F653" s="6">
        <v>2</v>
      </c>
      <c r="G653" s="17">
        <f>ROUND(Table1[[#This Row],[pledged]]/Table1[[#This Row],[goal]]*100,2)</f>
        <v>2</v>
      </c>
      <c r="H653" s="5">
        <f>+Table1[[#This Row],[pledged]]/Table1[[#This Row],[goal]]</f>
        <v>0.02</v>
      </c>
      <c r="I653" t="s">
        <v>14</v>
      </c>
      <c r="J653">
        <v>1</v>
      </c>
      <c r="K653" s="8">
        <f>IFERROR(Table1[[#This Row],[pledged]]/Table1[[#This Row],[backers_count]],"NA")</f>
        <v>2</v>
      </c>
      <c r="L653" t="s">
        <v>21</v>
      </c>
      <c r="M653" t="s">
        <v>22</v>
      </c>
      <c r="N653">
        <v>1404795600</v>
      </c>
      <c r="O653">
        <v>1407128400</v>
      </c>
      <c r="P653" s="11">
        <f>+(((Table1[[#This Row],[launched_at]]/60)/60)/24)+DATE(1970,1,1)</f>
        <v>41828.208333333336</v>
      </c>
      <c r="Q653" s="11">
        <f>+(((Table1[[#This Row],[deadline]]/60)/60)/24)+DATE(1970,1,1)</f>
        <v>41855.208333333336</v>
      </c>
      <c r="R653" t="b">
        <v>0</v>
      </c>
      <c r="S653" t="b">
        <v>0</v>
      </c>
      <c r="T653" t="s">
        <v>159</v>
      </c>
      <c r="U653" t="str">
        <f>+LEFT(Table1[[#This Row],[category &amp; sub-category]],FIND("/",Table1[[#This Row],[category &amp; sub-category]])-1)</f>
        <v>music</v>
      </c>
      <c r="V653" t="str">
        <f>+RIGHT(Table1[[#This Row],[category &amp; sub-category]],LEN(Table1[[#This Row],[category &amp; sub-category]])-SEARCH("/",Table1[[#This Row],[category &amp; sub-category]]))</f>
        <v>jazz</v>
      </c>
    </row>
    <row r="654" spans="2:22" ht="15.75" customHeight="1" x14ac:dyDescent="0.25">
      <c r="B654">
        <v>651</v>
      </c>
      <c r="C654" t="s">
        <v>1344</v>
      </c>
      <c r="D654" s="3" t="s">
        <v>1345</v>
      </c>
      <c r="E654" s="6">
        <v>196700</v>
      </c>
      <c r="F654" s="6">
        <v>174039</v>
      </c>
      <c r="G654" s="17">
        <f>ROUND(Table1[[#This Row],[pledged]]/Table1[[#This Row],[goal]]*100,2)</f>
        <v>88.48</v>
      </c>
      <c r="H654" s="5">
        <f>+Table1[[#This Row],[pledged]]/Table1[[#This Row],[goal]]</f>
        <v>0.88479410269445857</v>
      </c>
      <c r="I654" t="s">
        <v>14</v>
      </c>
      <c r="J654">
        <v>3868</v>
      </c>
      <c r="K654" s="8">
        <f>IFERROR(Table1[[#This Row],[pledged]]/Table1[[#This Row],[backers_count]],"NA")</f>
        <v>44.994570837642193</v>
      </c>
      <c r="L654" t="s">
        <v>107</v>
      </c>
      <c r="M654" t="s">
        <v>108</v>
      </c>
      <c r="N654">
        <v>1393048800</v>
      </c>
      <c r="O654">
        <v>1394344800</v>
      </c>
      <c r="P654" s="11">
        <f>+(((Table1[[#This Row],[launched_at]]/60)/60)/24)+DATE(1970,1,1)</f>
        <v>41692.25</v>
      </c>
      <c r="Q654" s="11">
        <f>+(((Table1[[#This Row],[deadline]]/60)/60)/24)+DATE(1970,1,1)</f>
        <v>41707.25</v>
      </c>
      <c r="R654" t="b">
        <v>0</v>
      </c>
      <c r="S654" t="b">
        <v>0</v>
      </c>
      <c r="T654" t="s">
        <v>100</v>
      </c>
      <c r="U654" t="str">
        <f>+LEFT(Table1[[#This Row],[category &amp; sub-category]],FIND("/",Table1[[#This Row],[category &amp; sub-category]])-1)</f>
        <v>film &amp; video</v>
      </c>
      <c r="V654" t="str">
        <f>+RIGHT(Table1[[#This Row],[category &amp; sub-category]],LEN(Table1[[#This Row],[category &amp; sub-category]])-SEARCH("/",Table1[[#This Row],[category &amp; sub-category]]))</f>
        <v>shorts</v>
      </c>
    </row>
    <row r="655" spans="2:22" ht="15.75" customHeight="1" x14ac:dyDescent="0.25">
      <c r="B655">
        <v>652</v>
      </c>
      <c r="C655" t="s">
        <v>1346</v>
      </c>
      <c r="D655" s="3" t="s">
        <v>1347</v>
      </c>
      <c r="E655" s="6">
        <v>10000</v>
      </c>
      <c r="F655" s="6">
        <v>12684</v>
      </c>
      <c r="G655" s="17">
        <f>ROUND(Table1[[#This Row],[pledged]]/Table1[[#This Row],[goal]]*100,2)</f>
        <v>126.84</v>
      </c>
      <c r="H655" s="5">
        <f>+Table1[[#This Row],[pledged]]/Table1[[#This Row],[goal]]</f>
        <v>1.2684</v>
      </c>
      <c r="I655" t="s">
        <v>20</v>
      </c>
      <c r="J655">
        <v>409</v>
      </c>
      <c r="K655" s="8">
        <f>IFERROR(Table1[[#This Row],[pledged]]/Table1[[#This Row],[backers_count]],"NA")</f>
        <v>31.012224938875306</v>
      </c>
      <c r="L655" t="s">
        <v>21</v>
      </c>
      <c r="M655" t="s">
        <v>22</v>
      </c>
      <c r="N655">
        <v>1470373200</v>
      </c>
      <c r="O655">
        <v>1474088400</v>
      </c>
      <c r="P655" s="11">
        <f>+(((Table1[[#This Row],[launched_at]]/60)/60)/24)+DATE(1970,1,1)</f>
        <v>42587.208333333328</v>
      </c>
      <c r="Q655" s="11">
        <f>+(((Table1[[#This Row],[deadline]]/60)/60)/24)+DATE(1970,1,1)</f>
        <v>42630.208333333328</v>
      </c>
      <c r="R655" t="b">
        <v>0</v>
      </c>
      <c r="S655" t="b">
        <v>0</v>
      </c>
      <c r="T655" t="s">
        <v>28</v>
      </c>
      <c r="U655" t="str">
        <f>+LEFT(Table1[[#This Row],[category &amp; sub-category]],FIND("/",Table1[[#This Row],[category &amp; sub-category]])-1)</f>
        <v>technology</v>
      </c>
      <c r="V655" t="str">
        <f>+RIGHT(Table1[[#This Row],[category &amp; sub-category]],LEN(Table1[[#This Row],[category &amp; sub-category]])-SEARCH("/",Table1[[#This Row],[category &amp; sub-category]]))</f>
        <v>web</v>
      </c>
    </row>
    <row r="656" spans="2:22" ht="15.75" customHeight="1" x14ac:dyDescent="0.25">
      <c r="B656">
        <v>653</v>
      </c>
      <c r="C656" t="s">
        <v>1348</v>
      </c>
      <c r="D656" s="3" t="s">
        <v>1349</v>
      </c>
      <c r="E656" s="6">
        <v>600</v>
      </c>
      <c r="F656" s="6">
        <v>14033</v>
      </c>
      <c r="G656" s="17">
        <f>ROUND(Table1[[#This Row],[pledged]]/Table1[[#This Row],[goal]]*100,2)</f>
        <v>2338.83</v>
      </c>
      <c r="H656" s="5">
        <f>+Table1[[#This Row],[pledged]]/Table1[[#This Row],[goal]]</f>
        <v>23.388333333333332</v>
      </c>
      <c r="I656" t="s">
        <v>20</v>
      </c>
      <c r="J656">
        <v>234</v>
      </c>
      <c r="K656" s="8">
        <f>IFERROR(Table1[[#This Row],[pledged]]/Table1[[#This Row],[backers_count]],"NA")</f>
        <v>59.970085470085472</v>
      </c>
      <c r="L656" t="s">
        <v>21</v>
      </c>
      <c r="M656" t="s">
        <v>22</v>
      </c>
      <c r="N656">
        <v>1460091600</v>
      </c>
      <c r="O656">
        <v>1460264400</v>
      </c>
      <c r="P656" s="11">
        <f>+(((Table1[[#This Row],[launched_at]]/60)/60)/24)+DATE(1970,1,1)</f>
        <v>42468.208333333328</v>
      </c>
      <c r="Q656" s="11">
        <f>+(((Table1[[#This Row],[deadline]]/60)/60)/24)+DATE(1970,1,1)</f>
        <v>42470.208333333328</v>
      </c>
      <c r="R656" t="b">
        <v>0</v>
      </c>
      <c r="S656" t="b">
        <v>0</v>
      </c>
      <c r="T656" t="s">
        <v>28</v>
      </c>
      <c r="U656" t="str">
        <f>+LEFT(Table1[[#This Row],[category &amp; sub-category]],FIND("/",Table1[[#This Row],[category &amp; sub-category]])-1)</f>
        <v>technology</v>
      </c>
      <c r="V656" t="str">
        <f>+RIGHT(Table1[[#This Row],[category &amp; sub-category]],LEN(Table1[[#This Row],[category &amp; sub-category]])-SEARCH("/",Table1[[#This Row],[category &amp; sub-category]]))</f>
        <v>web</v>
      </c>
    </row>
    <row r="657" spans="2:22" ht="15.75" customHeight="1" x14ac:dyDescent="0.25">
      <c r="B657">
        <v>654</v>
      </c>
      <c r="C657" t="s">
        <v>1350</v>
      </c>
      <c r="D657" s="3" t="s">
        <v>1351</v>
      </c>
      <c r="E657" s="6">
        <v>35000</v>
      </c>
      <c r="F657" s="6">
        <v>177936</v>
      </c>
      <c r="G657" s="17">
        <f>ROUND(Table1[[#This Row],[pledged]]/Table1[[#This Row],[goal]]*100,2)</f>
        <v>508.39</v>
      </c>
      <c r="H657" s="5">
        <f>+Table1[[#This Row],[pledged]]/Table1[[#This Row],[goal]]</f>
        <v>5.0838857142857146</v>
      </c>
      <c r="I657" t="s">
        <v>20</v>
      </c>
      <c r="J657">
        <v>3016</v>
      </c>
      <c r="K657" s="8">
        <f>IFERROR(Table1[[#This Row],[pledged]]/Table1[[#This Row],[backers_count]],"NA")</f>
        <v>58.9973474801061</v>
      </c>
      <c r="L657" t="s">
        <v>21</v>
      </c>
      <c r="M657" t="s">
        <v>22</v>
      </c>
      <c r="N657">
        <v>1440392400</v>
      </c>
      <c r="O657">
        <v>1440824400</v>
      </c>
      <c r="P657" s="11">
        <f>+(((Table1[[#This Row],[launched_at]]/60)/60)/24)+DATE(1970,1,1)</f>
        <v>42240.208333333328</v>
      </c>
      <c r="Q657" s="11">
        <f>+(((Table1[[#This Row],[deadline]]/60)/60)/24)+DATE(1970,1,1)</f>
        <v>42245.208333333328</v>
      </c>
      <c r="R657" t="b">
        <v>0</v>
      </c>
      <c r="S657" t="b">
        <v>0</v>
      </c>
      <c r="T657" t="s">
        <v>148</v>
      </c>
      <c r="U657" t="str">
        <f>+LEFT(Table1[[#This Row],[category &amp; sub-category]],FIND("/",Table1[[#This Row],[category &amp; sub-category]])-1)</f>
        <v>music</v>
      </c>
      <c r="V657" t="str">
        <f>+RIGHT(Table1[[#This Row],[category &amp; sub-category]],LEN(Table1[[#This Row],[category &amp; sub-category]])-SEARCH("/",Table1[[#This Row],[category &amp; sub-category]]))</f>
        <v>metal</v>
      </c>
    </row>
    <row r="658" spans="2:22" ht="15.75" customHeight="1" x14ac:dyDescent="0.25">
      <c r="B658">
        <v>655</v>
      </c>
      <c r="C658" t="s">
        <v>1352</v>
      </c>
      <c r="D658" s="3" t="s">
        <v>1353</v>
      </c>
      <c r="E658" s="6">
        <v>6900</v>
      </c>
      <c r="F658" s="6">
        <v>13212</v>
      </c>
      <c r="G658" s="17">
        <f>ROUND(Table1[[#This Row],[pledged]]/Table1[[#This Row],[goal]]*100,2)</f>
        <v>191.48</v>
      </c>
      <c r="H658" s="5">
        <f>+Table1[[#This Row],[pledged]]/Table1[[#This Row],[goal]]</f>
        <v>1.9147826086956521</v>
      </c>
      <c r="I658" t="s">
        <v>20</v>
      </c>
      <c r="J658">
        <v>264</v>
      </c>
      <c r="K658" s="8">
        <f>IFERROR(Table1[[#This Row],[pledged]]/Table1[[#This Row],[backers_count]],"NA")</f>
        <v>50.045454545454547</v>
      </c>
      <c r="L658" t="s">
        <v>21</v>
      </c>
      <c r="M658" t="s">
        <v>22</v>
      </c>
      <c r="N658">
        <v>1488434400</v>
      </c>
      <c r="O658">
        <v>1489554000</v>
      </c>
      <c r="P658" s="11">
        <f>+(((Table1[[#This Row],[launched_at]]/60)/60)/24)+DATE(1970,1,1)</f>
        <v>42796.25</v>
      </c>
      <c r="Q658" s="11">
        <f>+(((Table1[[#This Row],[deadline]]/60)/60)/24)+DATE(1970,1,1)</f>
        <v>42809.208333333328</v>
      </c>
      <c r="R658" t="b">
        <v>1</v>
      </c>
      <c r="S658" t="b">
        <v>0</v>
      </c>
      <c r="T658" t="s">
        <v>122</v>
      </c>
      <c r="U658" t="str">
        <f>+LEFT(Table1[[#This Row],[category &amp; sub-category]],FIND("/",Table1[[#This Row],[category &amp; sub-category]])-1)</f>
        <v>photography</v>
      </c>
      <c r="V658" t="str">
        <f>+RIGHT(Table1[[#This Row],[category &amp; sub-category]],LEN(Table1[[#This Row],[category &amp; sub-category]])-SEARCH("/",Table1[[#This Row],[category &amp; sub-category]]))</f>
        <v>photography books</v>
      </c>
    </row>
    <row r="659" spans="2:22" ht="15.75" customHeight="1" x14ac:dyDescent="0.25">
      <c r="B659">
        <v>656</v>
      </c>
      <c r="C659" t="s">
        <v>1354</v>
      </c>
      <c r="D659" s="3" t="s">
        <v>1355</v>
      </c>
      <c r="E659" s="6">
        <v>118400</v>
      </c>
      <c r="F659" s="6">
        <v>49879</v>
      </c>
      <c r="G659" s="17">
        <f>ROUND(Table1[[#This Row],[pledged]]/Table1[[#This Row],[goal]]*100,2)</f>
        <v>42.13</v>
      </c>
      <c r="H659" s="5">
        <f>+Table1[[#This Row],[pledged]]/Table1[[#This Row],[goal]]</f>
        <v>0.42127533783783783</v>
      </c>
      <c r="I659" t="s">
        <v>14</v>
      </c>
      <c r="J659">
        <v>504</v>
      </c>
      <c r="K659" s="8">
        <f>IFERROR(Table1[[#This Row],[pledged]]/Table1[[#This Row],[backers_count]],"NA")</f>
        <v>98.966269841269835</v>
      </c>
      <c r="L659" t="s">
        <v>26</v>
      </c>
      <c r="M659" t="s">
        <v>27</v>
      </c>
      <c r="N659">
        <v>1514440800</v>
      </c>
      <c r="O659">
        <v>1514872800</v>
      </c>
      <c r="P659" s="11">
        <f>+(((Table1[[#This Row],[launched_at]]/60)/60)/24)+DATE(1970,1,1)</f>
        <v>43097.25</v>
      </c>
      <c r="Q659" s="11">
        <f>+(((Table1[[#This Row],[deadline]]/60)/60)/24)+DATE(1970,1,1)</f>
        <v>43102.25</v>
      </c>
      <c r="R659" t="b">
        <v>0</v>
      </c>
      <c r="S659" t="b">
        <v>0</v>
      </c>
      <c r="T659" t="s">
        <v>17</v>
      </c>
      <c r="U659" t="str">
        <f>+LEFT(Table1[[#This Row],[category &amp; sub-category]],FIND("/",Table1[[#This Row],[category &amp; sub-category]])-1)</f>
        <v>food</v>
      </c>
      <c r="V659" t="str">
        <f>+RIGHT(Table1[[#This Row],[category &amp; sub-category]],LEN(Table1[[#This Row],[category &amp; sub-category]])-SEARCH("/",Table1[[#This Row],[category &amp; sub-category]]))</f>
        <v>food trucks</v>
      </c>
    </row>
    <row r="660" spans="2:22" ht="15.75" customHeight="1" x14ac:dyDescent="0.25">
      <c r="B660">
        <v>657</v>
      </c>
      <c r="C660" t="s">
        <v>1356</v>
      </c>
      <c r="D660" s="3" t="s">
        <v>1357</v>
      </c>
      <c r="E660" s="6">
        <v>10000</v>
      </c>
      <c r="F660" s="6">
        <v>824</v>
      </c>
      <c r="G660" s="17">
        <f>ROUND(Table1[[#This Row],[pledged]]/Table1[[#This Row],[goal]]*100,2)</f>
        <v>8.24</v>
      </c>
      <c r="H660" s="5">
        <f>+Table1[[#This Row],[pledged]]/Table1[[#This Row],[goal]]</f>
        <v>8.2400000000000001E-2</v>
      </c>
      <c r="I660" t="s">
        <v>14</v>
      </c>
      <c r="J660">
        <v>14</v>
      </c>
      <c r="K660" s="8">
        <f>IFERROR(Table1[[#This Row],[pledged]]/Table1[[#This Row],[backers_count]],"NA")</f>
        <v>58.857142857142854</v>
      </c>
      <c r="L660" t="s">
        <v>21</v>
      </c>
      <c r="M660" t="s">
        <v>22</v>
      </c>
      <c r="N660">
        <v>1514354400</v>
      </c>
      <c r="O660">
        <v>1515736800</v>
      </c>
      <c r="P660" s="11">
        <f>+(((Table1[[#This Row],[launched_at]]/60)/60)/24)+DATE(1970,1,1)</f>
        <v>43096.25</v>
      </c>
      <c r="Q660" s="11">
        <f>+(((Table1[[#This Row],[deadline]]/60)/60)/24)+DATE(1970,1,1)</f>
        <v>43112.25</v>
      </c>
      <c r="R660" t="b">
        <v>0</v>
      </c>
      <c r="S660" t="b">
        <v>0</v>
      </c>
      <c r="T660" t="s">
        <v>474</v>
      </c>
      <c r="U660" t="str">
        <f>+LEFT(Table1[[#This Row],[category &amp; sub-category]],FIND("/",Table1[[#This Row],[category &amp; sub-category]])-1)</f>
        <v>film &amp; video</v>
      </c>
      <c r="V660" t="str">
        <f>+RIGHT(Table1[[#This Row],[category &amp; sub-category]],LEN(Table1[[#This Row],[category &amp; sub-category]])-SEARCH("/",Table1[[#This Row],[category &amp; sub-category]]))</f>
        <v>science fiction</v>
      </c>
    </row>
    <row r="661" spans="2:22" ht="15.75" customHeight="1" x14ac:dyDescent="0.25">
      <c r="B661">
        <v>658</v>
      </c>
      <c r="C661" t="s">
        <v>1358</v>
      </c>
      <c r="D661" s="3" t="s">
        <v>1359</v>
      </c>
      <c r="E661" s="6">
        <v>52600</v>
      </c>
      <c r="F661" s="6">
        <v>31594</v>
      </c>
      <c r="G661" s="17">
        <f>ROUND(Table1[[#This Row],[pledged]]/Table1[[#This Row],[goal]]*100,2)</f>
        <v>60.06</v>
      </c>
      <c r="H661" s="5">
        <f>+Table1[[#This Row],[pledged]]/Table1[[#This Row],[goal]]</f>
        <v>0.60064638783269964</v>
      </c>
      <c r="I661" t="s">
        <v>74</v>
      </c>
      <c r="J661">
        <v>390</v>
      </c>
      <c r="K661" s="8">
        <f>IFERROR(Table1[[#This Row],[pledged]]/Table1[[#This Row],[backers_count]],"NA")</f>
        <v>81.010256410256417</v>
      </c>
      <c r="L661" t="s">
        <v>21</v>
      </c>
      <c r="M661" t="s">
        <v>22</v>
      </c>
      <c r="N661">
        <v>1440910800</v>
      </c>
      <c r="O661">
        <v>1442898000</v>
      </c>
      <c r="P661" s="11">
        <f>+(((Table1[[#This Row],[launched_at]]/60)/60)/24)+DATE(1970,1,1)</f>
        <v>42246.208333333328</v>
      </c>
      <c r="Q661" s="11">
        <f>+(((Table1[[#This Row],[deadline]]/60)/60)/24)+DATE(1970,1,1)</f>
        <v>42269.208333333328</v>
      </c>
      <c r="R661" t="b">
        <v>0</v>
      </c>
      <c r="S661" t="b">
        <v>0</v>
      </c>
      <c r="T661" t="s">
        <v>23</v>
      </c>
      <c r="U661" t="str">
        <f>+LEFT(Table1[[#This Row],[category &amp; sub-category]],FIND("/",Table1[[#This Row],[category &amp; sub-category]])-1)</f>
        <v>music</v>
      </c>
      <c r="V661" t="str">
        <f>+RIGHT(Table1[[#This Row],[category &amp; sub-category]],LEN(Table1[[#This Row],[category &amp; sub-category]])-SEARCH("/",Table1[[#This Row],[category &amp; sub-category]]))</f>
        <v>rock</v>
      </c>
    </row>
    <row r="662" spans="2:22" ht="15.75" customHeight="1" x14ac:dyDescent="0.25">
      <c r="B662">
        <v>659</v>
      </c>
      <c r="C662" t="s">
        <v>1360</v>
      </c>
      <c r="D662" s="3" t="s">
        <v>1361</v>
      </c>
      <c r="E662" s="6">
        <v>120700</v>
      </c>
      <c r="F662" s="6">
        <v>57010</v>
      </c>
      <c r="G662" s="17">
        <f>ROUND(Table1[[#This Row],[pledged]]/Table1[[#This Row],[goal]]*100,2)</f>
        <v>47.23</v>
      </c>
      <c r="H662" s="5">
        <f>+Table1[[#This Row],[pledged]]/Table1[[#This Row],[goal]]</f>
        <v>0.47232808616404309</v>
      </c>
      <c r="I662" t="s">
        <v>14</v>
      </c>
      <c r="J662">
        <v>750</v>
      </c>
      <c r="K662" s="8">
        <f>IFERROR(Table1[[#This Row],[pledged]]/Table1[[#This Row],[backers_count]],"NA")</f>
        <v>76.013333333333335</v>
      </c>
      <c r="L662" t="s">
        <v>40</v>
      </c>
      <c r="M662" t="s">
        <v>41</v>
      </c>
      <c r="N662">
        <v>1296108000</v>
      </c>
      <c r="O662">
        <v>1296194400</v>
      </c>
      <c r="P662" s="11">
        <f>+(((Table1[[#This Row],[launched_at]]/60)/60)/24)+DATE(1970,1,1)</f>
        <v>40570.25</v>
      </c>
      <c r="Q662" s="11">
        <f>+(((Table1[[#This Row],[deadline]]/60)/60)/24)+DATE(1970,1,1)</f>
        <v>40571.25</v>
      </c>
      <c r="R662" t="b">
        <v>0</v>
      </c>
      <c r="S662" t="b">
        <v>0</v>
      </c>
      <c r="T662" t="s">
        <v>42</v>
      </c>
      <c r="U662" t="str">
        <f>+LEFT(Table1[[#This Row],[category &amp; sub-category]],FIND("/",Table1[[#This Row],[category &amp; sub-category]])-1)</f>
        <v>film &amp; video</v>
      </c>
      <c r="V662" t="str">
        <f>+RIGHT(Table1[[#This Row],[category &amp; sub-category]],LEN(Table1[[#This Row],[category &amp; sub-category]])-SEARCH("/",Table1[[#This Row],[category &amp; sub-category]]))</f>
        <v>documentary</v>
      </c>
    </row>
    <row r="663" spans="2:22" ht="15.75" customHeight="1" x14ac:dyDescent="0.25">
      <c r="B663">
        <v>660</v>
      </c>
      <c r="C663" t="s">
        <v>1362</v>
      </c>
      <c r="D663" s="3" t="s">
        <v>1363</v>
      </c>
      <c r="E663" s="6">
        <v>9100</v>
      </c>
      <c r="F663" s="6">
        <v>7438</v>
      </c>
      <c r="G663" s="17">
        <f>ROUND(Table1[[#This Row],[pledged]]/Table1[[#This Row],[goal]]*100,2)</f>
        <v>81.739999999999995</v>
      </c>
      <c r="H663" s="5">
        <f>+Table1[[#This Row],[pledged]]/Table1[[#This Row],[goal]]</f>
        <v>0.81736263736263737</v>
      </c>
      <c r="I663" t="s">
        <v>14</v>
      </c>
      <c r="J663">
        <v>77</v>
      </c>
      <c r="K663" s="8">
        <f>IFERROR(Table1[[#This Row],[pledged]]/Table1[[#This Row],[backers_count]],"NA")</f>
        <v>96.597402597402592</v>
      </c>
      <c r="L663" t="s">
        <v>21</v>
      </c>
      <c r="M663" t="s">
        <v>22</v>
      </c>
      <c r="N663">
        <v>1440133200</v>
      </c>
      <c r="O663">
        <v>1440910800</v>
      </c>
      <c r="P663" s="11">
        <f>+(((Table1[[#This Row],[launched_at]]/60)/60)/24)+DATE(1970,1,1)</f>
        <v>42237.208333333328</v>
      </c>
      <c r="Q663" s="11">
        <f>+(((Table1[[#This Row],[deadline]]/60)/60)/24)+DATE(1970,1,1)</f>
        <v>42246.208333333328</v>
      </c>
      <c r="R663" t="b">
        <v>1</v>
      </c>
      <c r="S663" t="b">
        <v>0</v>
      </c>
      <c r="T663" t="s">
        <v>33</v>
      </c>
      <c r="U663" t="str">
        <f>+LEFT(Table1[[#This Row],[category &amp; sub-category]],FIND("/",Table1[[#This Row],[category &amp; sub-category]])-1)</f>
        <v>theater</v>
      </c>
      <c r="V663" t="str">
        <f>+RIGHT(Table1[[#This Row],[category &amp; sub-category]],LEN(Table1[[#This Row],[category &amp; sub-category]])-SEARCH("/",Table1[[#This Row],[category &amp; sub-category]]))</f>
        <v>plays</v>
      </c>
    </row>
    <row r="664" spans="2:22" ht="15.75" customHeight="1" x14ac:dyDescent="0.25">
      <c r="B664">
        <v>661</v>
      </c>
      <c r="C664" t="s">
        <v>1364</v>
      </c>
      <c r="D664" s="3" t="s">
        <v>1365</v>
      </c>
      <c r="E664" s="6">
        <v>106800</v>
      </c>
      <c r="F664" s="6">
        <v>57872</v>
      </c>
      <c r="G664" s="17">
        <f>ROUND(Table1[[#This Row],[pledged]]/Table1[[#This Row],[goal]]*100,2)</f>
        <v>54.19</v>
      </c>
      <c r="H664" s="5">
        <f>+Table1[[#This Row],[pledged]]/Table1[[#This Row],[goal]]</f>
        <v>0.54187265917603</v>
      </c>
      <c r="I664" t="s">
        <v>14</v>
      </c>
      <c r="J664">
        <v>752</v>
      </c>
      <c r="K664" s="8">
        <f>IFERROR(Table1[[#This Row],[pledged]]/Table1[[#This Row],[backers_count]],"NA")</f>
        <v>76.957446808510639</v>
      </c>
      <c r="L664" t="s">
        <v>36</v>
      </c>
      <c r="M664" t="s">
        <v>37</v>
      </c>
      <c r="N664">
        <v>1332910800</v>
      </c>
      <c r="O664">
        <v>1335502800</v>
      </c>
      <c r="P664" s="11">
        <f>+(((Table1[[#This Row],[launched_at]]/60)/60)/24)+DATE(1970,1,1)</f>
        <v>40996.208333333336</v>
      </c>
      <c r="Q664" s="11">
        <f>+(((Table1[[#This Row],[deadline]]/60)/60)/24)+DATE(1970,1,1)</f>
        <v>41026.208333333336</v>
      </c>
      <c r="R664" t="b">
        <v>0</v>
      </c>
      <c r="S664" t="b">
        <v>0</v>
      </c>
      <c r="T664" t="s">
        <v>159</v>
      </c>
      <c r="U664" t="str">
        <f>+LEFT(Table1[[#This Row],[category &amp; sub-category]],FIND("/",Table1[[#This Row],[category &amp; sub-category]])-1)</f>
        <v>music</v>
      </c>
      <c r="V664" t="str">
        <f>+RIGHT(Table1[[#This Row],[category &amp; sub-category]],LEN(Table1[[#This Row],[category &amp; sub-category]])-SEARCH("/",Table1[[#This Row],[category &amp; sub-category]]))</f>
        <v>jazz</v>
      </c>
    </row>
    <row r="665" spans="2:22" ht="15.75" customHeight="1" x14ac:dyDescent="0.25">
      <c r="B665">
        <v>662</v>
      </c>
      <c r="C665" t="s">
        <v>1366</v>
      </c>
      <c r="D665" s="3" t="s">
        <v>1367</v>
      </c>
      <c r="E665" s="6">
        <v>9100</v>
      </c>
      <c r="F665" s="6">
        <v>8906</v>
      </c>
      <c r="G665" s="17">
        <f>ROUND(Table1[[#This Row],[pledged]]/Table1[[#This Row],[goal]]*100,2)</f>
        <v>97.87</v>
      </c>
      <c r="H665" s="5">
        <f>+Table1[[#This Row],[pledged]]/Table1[[#This Row],[goal]]</f>
        <v>0.97868131868131869</v>
      </c>
      <c r="I665" t="s">
        <v>14</v>
      </c>
      <c r="J665">
        <v>131</v>
      </c>
      <c r="K665" s="8">
        <f>IFERROR(Table1[[#This Row],[pledged]]/Table1[[#This Row],[backers_count]],"NA")</f>
        <v>67.984732824427482</v>
      </c>
      <c r="L665" t="s">
        <v>21</v>
      </c>
      <c r="M665" t="s">
        <v>22</v>
      </c>
      <c r="N665">
        <v>1544335200</v>
      </c>
      <c r="O665">
        <v>1544680800</v>
      </c>
      <c r="P665" s="11">
        <f>+(((Table1[[#This Row],[launched_at]]/60)/60)/24)+DATE(1970,1,1)</f>
        <v>43443.25</v>
      </c>
      <c r="Q665" s="11">
        <f>+(((Table1[[#This Row],[deadline]]/60)/60)/24)+DATE(1970,1,1)</f>
        <v>43447.25</v>
      </c>
      <c r="R665" t="b">
        <v>0</v>
      </c>
      <c r="S665" t="b">
        <v>0</v>
      </c>
      <c r="T665" t="s">
        <v>33</v>
      </c>
      <c r="U665" t="str">
        <f>+LEFT(Table1[[#This Row],[category &amp; sub-category]],FIND("/",Table1[[#This Row],[category &amp; sub-category]])-1)</f>
        <v>theater</v>
      </c>
      <c r="V665" t="str">
        <f>+RIGHT(Table1[[#This Row],[category &amp; sub-category]],LEN(Table1[[#This Row],[category &amp; sub-category]])-SEARCH("/",Table1[[#This Row],[category &amp; sub-category]]))</f>
        <v>plays</v>
      </c>
    </row>
    <row r="666" spans="2:22" ht="15.75" customHeight="1" x14ac:dyDescent="0.25">
      <c r="B666">
        <v>663</v>
      </c>
      <c r="C666" t="s">
        <v>1368</v>
      </c>
      <c r="D666" s="3" t="s">
        <v>1369</v>
      </c>
      <c r="E666" s="6">
        <v>10000</v>
      </c>
      <c r="F666" s="6">
        <v>7724</v>
      </c>
      <c r="G666" s="17">
        <f>ROUND(Table1[[#This Row],[pledged]]/Table1[[#This Row],[goal]]*100,2)</f>
        <v>77.239999999999995</v>
      </c>
      <c r="H666" s="5">
        <f>+Table1[[#This Row],[pledged]]/Table1[[#This Row],[goal]]</f>
        <v>0.77239999999999998</v>
      </c>
      <c r="I666" t="s">
        <v>14</v>
      </c>
      <c r="J666">
        <v>87</v>
      </c>
      <c r="K666" s="8">
        <f>IFERROR(Table1[[#This Row],[pledged]]/Table1[[#This Row],[backers_count]],"NA")</f>
        <v>88.781609195402297</v>
      </c>
      <c r="L666" t="s">
        <v>21</v>
      </c>
      <c r="M666" t="s">
        <v>22</v>
      </c>
      <c r="N666">
        <v>1286427600</v>
      </c>
      <c r="O666">
        <v>1288414800</v>
      </c>
      <c r="P666" s="11">
        <f>+(((Table1[[#This Row],[launched_at]]/60)/60)/24)+DATE(1970,1,1)</f>
        <v>40458.208333333336</v>
      </c>
      <c r="Q666" s="11">
        <f>+(((Table1[[#This Row],[deadline]]/60)/60)/24)+DATE(1970,1,1)</f>
        <v>40481.208333333336</v>
      </c>
      <c r="R666" t="b">
        <v>0</v>
      </c>
      <c r="S666" t="b">
        <v>0</v>
      </c>
      <c r="T666" t="s">
        <v>33</v>
      </c>
      <c r="U666" t="str">
        <f>+LEFT(Table1[[#This Row],[category &amp; sub-category]],FIND("/",Table1[[#This Row],[category &amp; sub-category]])-1)</f>
        <v>theater</v>
      </c>
      <c r="V666" t="str">
        <f>+RIGHT(Table1[[#This Row],[category &amp; sub-category]],LEN(Table1[[#This Row],[category &amp; sub-category]])-SEARCH("/",Table1[[#This Row],[category &amp; sub-category]]))</f>
        <v>plays</v>
      </c>
    </row>
    <row r="667" spans="2:22" ht="15.75" customHeight="1" x14ac:dyDescent="0.25">
      <c r="B667">
        <v>664</v>
      </c>
      <c r="C667" t="s">
        <v>708</v>
      </c>
      <c r="D667" s="3" t="s">
        <v>1370</v>
      </c>
      <c r="E667" s="6">
        <v>79400</v>
      </c>
      <c r="F667" s="6">
        <v>26571</v>
      </c>
      <c r="G667" s="17">
        <f>ROUND(Table1[[#This Row],[pledged]]/Table1[[#This Row],[goal]]*100,2)</f>
        <v>33.46</v>
      </c>
      <c r="H667" s="5">
        <f>+Table1[[#This Row],[pledged]]/Table1[[#This Row],[goal]]</f>
        <v>0.33464735516372796</v>
      </c>
      <c r="I667" t="s">
        <v>14</v>
      </c>
      <c r="J667">
        <v>1063</v>
      </c>
      <c r="K667" s="8">
        <f>IFERROR(Table1[[#This Row],[pledged]]/Table1[[#This Row],[backers_count]],"NA")</f>
        <v>24.99623706491063</v>
      </c>
      <c r="L667" t="s">
        <v>21</v>
      </c>
      <c r="M667" t="s">
        <v>22</v>
      </c>
      <c r="N667">
        <v>1329717600</v>
      </c>
      <c r="O667">
        <v>1330581600</v>
      </c>
      <c r="P667" s="11">
        <f>+(((Table1[[#This Row],[launched_at]]/60)/60)/24)+DATE(1970,1,1)</f>
        <v>40959.25</v>
      </c>
      <c r="Q667" s="11">
        <f>+(((Table1[[#This Row],[deadline]]/60)/60)/24)+DATE(1970,1,1)</f>
        <v>40969.25</v>
      </c>
      <c r="R667" t="b">
        <v>0</v>
      </c>
      <c r="S667" t="b">
        <v>0</v>
      </c>
      <c r="T667" t="s">
        <v>159</v>
      </c>
      <c r="U667" t="str">
        <f>+LEFT(Table1[[#This Row],[category &amp; sub-category]],FIND("/",Table1[[#This Row],[category &amp; sub-category]])-1)</f>
        <v>music</v>
      </c>
      <c r="V667" t="str">
        <f>+RIGHT(Table1[[#This Row],[category &amp; sub-category]],LEN(Table1[[#This Row],[category &amp; sub-category]])-SEARCH("/",Table1[[#This Row],[category &amp; sub-category]]))</f>
        <v>jazz</v>
      </c>
    </row>
    <row r="668" spans="2:22" ht="15.75" customHeight="1" x14ac:dyDescent="0.25">
      <c r="B668">
        <v>665</v>
      </c>
      <c r="C668" t="s">
        <v>1371</v>
      </c>
      <c r="D668" s="3" t="s">
        <v>1372</v>
      </c>
      <c r="E668" s="6">
        <v>5100</v>
      </c>
      <c r="F668" s="6">
        <v>12219</v>
      </c>
      <c r="G668" s="17">
        <f>ROUND(Table1[[#This Row],[pledged]]/Table1[[#This Row],[goal]]*100,2)</f>
        <v>239.59</v>
      </c>
      <c r="H668" s="5">
        <f>+Table1[[#This Row],[pledged]]/Table1[[#This Row],[goal]]</f>
        <v>2.3958823529411766</v>
      </c>
      <c r="I668" t="s">
        <v>20</v>
      </c>
      <c r="J668">
        <v>272</v>
      </c>
      <c r="K668" s="8">
        <f>IFERROR(Table1[[#This Row],[pledged]]/Table1[[#This Row],[backers_count]],"NA")</f>
        <v>44.922794117647058</v>
      </c>
      <c r="L668" t="s">
        <v>21</v>
      </c>
      <c r="M668" t="s">
        <v>22</v>
      </c>
      <c r="N668">
        <v>1310187600</v>
      </c>
      <c r="O668">
        <v>1311397200</v>
      </c>
      <c r="P668" s="11">
        <f>+(((Table1[[#This Row],[launched_at]]/60)/60)/24)+DATE(1970,1,1)</f>
        <v>40733.208333333336</v>
      </c>
      <c r="Q668" s="11">
        <f>+(((Table1[[#This Row],[deadline]]/60)/60)/24)+DATE(1970,1,1)</f>
        <v>40747.208333333336</v>
      </c>
      <c r="R668" t="b">
        <v>0</v>
      </c>
      <c r="S668" t="b">
        <v>1</v>
      </c>
      <c r="T668" t="s">
        <v>42</v>
      </c>
      <c r="U668" t="str">
        <f>+LEFT(Table1[[#This Row],[category &amp; sub-category]],FIND("/",Table1[[#This Row],[category &amp; sub-category]])-1)</f>
        <v>film &amp; video</v>
      </c>
      <c r="V668" t="str">
        <f>+RIGHT(Table1[[#This Row],[category &amp; sub-category]],LEN(Table1[[#This Row],[category &amp; sub-category]])-SEARCH("/",Table1[[#This Row],[category &amp; sub-category]]))</f>
        <v>documentary</v>
      </c>
    </row>
    <row r="669" spans="2:22" ht="15.75" customHeight="1" x14ac:dyDescent="0.25">
      <c r="B669">
        <v>666</v>
      </c>
      <c r="C669" t="s">
        <v>1373</v>
      </c>
      <c r="D669" s="3" t="s">
        <v>1374</v>
      </c>
      <c r="E669" s="6">
        <v>3100</v>
      </c>
      <c r="F669" s="6">
        <v>1985</v>
      </c>
      <c r="G669" s="17">
        <f>ROUND(Table1[[#This Row],[pledged]]/Table1[[#This Row],[goal]]*100,2)</f>
        <v>64.03</v>
      </c>
      <c r="H669" s="5">
        <f>+Table1[[#This Row],[pledged]]/Table1[[#This Row],[goal]]</f>
        <v>0.64032258064516134</v>
      </c>
      <c r="I669" t="s">
        <v>74</v>
      </c>
      <c r="J669">
        <v>25</v>
      </c>
      <c r="K669" s="8">
        <f>IFERROR(Table1[[#This Row],[pledged]]/Table1[[#This Row],[backers_count]],"NA")</f>
        <v>79.400000000000006</v>
      </c>
      <c r="L669" t="s">
        <v>21</v>
      </c>
      <c r="M669" t="s">
        <v>22</v>
      </c>
      <c r="N669">
        <v>1377838800</v>
      </c>
      <c r="O669">
        <v>1378357200</v>
      </c>
      <c r="P669" s="11">
        <f>+(((Table1[[#This Row],[launched_at]]/60)/60)/24)+DATE(1970,1,1)</f>
        <v>41516.208333333336</v>
      </c>
      <c r="Q669" s="11">
        <f>+(((Table1[[#This Row],[deadline]]/60)/60)/24)+DATE(1970,1,1)</f>
        <v>41522.208333333336</v>
      </c>
      <c r="R669" t="b">
        <v>0</v>
      </c>
      <c r="S669" t="b">
        <v>1</v>
      </c>
      <c r="T669" t="s">
        <v>33</v>
      </c>
      <c r="U669" t="str">
        <f>+LEFT(Table1[[#This Row],[category &amp; sub-category]],FIND("/",Table1[[#This Row],[category &amp; sub-category]])-1)</f>
        <v>theater</v>
      </c>
      <c r="V669" t="str">
        <f>+RIGHT(Table1[[#This Row],[category &amp; sub-category]],LEN(Table1[[#This Row],[category &amp; sub-category]])-SEARCH("/",Table1[[#This Row],[category &amp; sub-category]]))</f>
        <v>plays</v>
      </c>
    </row>
    <row r="670" spans="2:22" ht="15.75" customHeight="1" x14ac:dyDescent="0.25">
      <c r="B670">
        <v>667</v>
      </c>
      <c r="C670" t="s">
        <v>1375</v>
      </c>
      <c r="D670" s="3" t="s">
        <v>1376</v>
      </c>
      <c r="E670" s="6">
        <v>6900</v>
      </c>
      <c r="F670" s="6">
        <v>12155</v>
      </c>
      <c r="G670" s="17">
        <f>ROUND(Table1[[#This Row],[pledged]]/Table1[[#This Row],[goal]]*100,2)</f>
        <v>176.16</v>
      </c>
      <c r="H670" s="5">
        <f>+Table1[[#This Row],[pledged]]/Table1[[#This Row],[goal]]</f>
        <v>1.7615942028985507</v>
      </c>
      <c r="I670" t="s">
        <v>20</v>
      </c>
      <c r="J670">
        <v>419</v>
      </c>
      <c r="K670" s="8">
        <f>IFERROR(Table1[[#This Row],[pledged]]/Table1[[#This Row],[backers_count]],"NA")</f>
        <v>29.009546539379475</v>
      </c>
      <c r="L670" t="s">
        <v>21</v>
      </c>
      <c r="M670" t="s">
        <v>22</v>
      </c>
      <c r="N670">
        <v>1410325200</v>
      </c>
      <c r="O670">
        <v>1411102800</v>
      </c>
      <c r="P670" s="11">
        <f>+(((Table1[[#This Row],[launched_at]]/60)/60)/24)+DATE(1970,1,1)</f>
        <v>41892.208333333336</v>
      </c>
      <c r="Q670" s="11">
        <f>+(((Table1[[#This Row],[deadline]]/60)/60)/24)+DATE(1970,1,1)</f>
        <v>41901.208333333336</v>
      </c>
      <c r="R670" t="b">
        <v>0</v>
      </c>
      <c r="S670" t="b">
        <v>0</v>
      </c>
      <c r="T670" t="s">
        <v>1029</v>
      </c>
      <c r="U670" t="str">
        <f>+LEFT(Table1[[#This Row],[category &amp; sub-category]],FIND("/",Table1[[#This Row],[category &amp; sub-category]])-1)</f>
        <v>journalism</v>
      </c>
      <c r="V670" t="str">
        <f>+RIGHT(Table1[[#This Row],[category &amp; sub-category]],LEN(Table1[[#This Row],[category &amp; sub-category]])-SEARCH("/",Table1[[#This Row],[category &amp; sub-category]]))</f>
        <v>audio</v>
      </c>
    </row>
    <row r="671" spans="2:22" ht="15.75" customHeight="1" x14ac:dyDescent="0.25">
      <c r="B671">
        <v>668</v>
      </c>
      <c r="C671" t="s">
        <v>1377</v>
      </c>
      <c r="D671" s="3" t="s">
        <v>1378</v>
      </c>
      <c r="E671" s="6">
        <v>27500</v>
      </c>
      <c r="F671" s="6">
        <v>5593</v>
      </c>
      <c r="G671" s="17">
        <f>ROUND(Table1[[#This Row],[pledged]]/Table1[[#This Row],[goal]]*100,2)</f>
        <v>20.34</v>
      </c>
      <c r="H671" s="5">
        <f>+Table1[[#This Row],[pledged]]/Table1[[#This Row],[goal]]</f>
        <v>0.20338181818181819</v>
      </c>
      <c r="I671" t="s">
        <v>14</v>
      </c>
      <c r="J671">
        <v>76</v>
      </c>
      <c r="K671" s="8">
        <f>IFERROR(Table1[[#This Row],[pledged]]/Table1[[#This Row],[backers_count]],"NA")</f>
        <v>73.59210526315789</v>
      </c>
      <c r="L671" t="s">
        <v>21</v>
      </c>
      <c r="M671" t="s">
        <v>22</v>
      </c>
      <c r="N671">
        <v>1343797200</v>
      </c>
      <c r="O671">
        <v>1344834000</v>
      </c>
      <c r="P671" s="11">
        <f>+(((Table1[[#This Row],[launched_at]]/60)/60)/24)+DATE(1970,1,1)</f>
        <v>41122.208333333336</v>
      </c>
      <c r="Q671" s="11">
        <f>+(((Table1[[#This Row],[deadline]]/60)/60)/24)+DATE(1970,1,1)</f>
        <v>41134.208333333336</v>
      </c>
      <c r="R671" t="b">
        <v>0</v>
      </c>
      <c r="S671" t="b">
        <v>0</v>
      </c>
      <c r="T671" t="s">
        <v>33</v>
      </c>
      <c r="U671" t="str">
        <f>+LEFT(Table1[[#This Row],[category &amp; sub-category]],FIND("/",Table1[[#This Row],[category &amp; sub-category]])-1)</f>
        <v>theater</v>
      </c>
      <c r="V671" t="str">
        <f>+RIGHT(Table1[[#This Row],[category &amp; sub-category]],LEN(Table1[[#This Row],[category &amp; sub-category]])-SEARCH("/",Table1[[#This Row],[category &amp; sub-category]]))</f>
        <v>plays</v>
      </c>
    </row>
    <row r="672" spans="2:22" ht="15.75" customHeight="1" x14ac:dyDescent="0.25">
      <c r="B672">
        <v>669</v>
      </c>
      <c r="C672" t="s">
        <v>1379</v>
      </c>
      <c r="D672" s="3" t="s">
        <v>1380</v>
      </c>
      <c r="E672" s="6">
        <v>48800</v>
      </c>
      <c r="F672" s="6">
        <v>175020</v>
      </c>
      <c r="G672" s="17">
        <f>ROUND(Table1[[#This Row],[pledged]]/Table1[[#This Row],[goal]]*100,2)</f>
        <v>358.65</v>
      </c>
      <c r="H672" s="5">
        <f>+Table1[[#This Row],[pledged]]/Table1[[#This Row],[goal]]</f>
        <v>3.5864754098360656</v>
      </c>
      <c r="I672" t="s">
        <v>20</v>
      </c>
      <c r="J672">
        <v>1621</v>
      </c>
      <c r="K672" s="8">
        <f>IFERROR(Table1[[#This Row],[pledged]]/Table1[[#This Row],[backers_count]],"NA")</f>
        <v>107.97038864898211</v>
      </c>
      <c r="L672" t="s">
        <v>107</v>
      </c>
      <c r="M672" t="s">
        <v>108</v>
      </c>
      <c r="N672">
        <v>1498453200</v>
      </c>
      <c r="O672">
        <v>1499230800</v>
      </c>
      <c r="P672" s="11">
        <f>+(((Table1[[#This Row],[launched_at]]/60)/60)/24)+DATE(1970,1,1)</f>
        <v>42912.208333333328</v>
      </c>
      <c r="Q672" s="11">
        <f>+(((Table1[[#This Row],[deadline]]/60)/60)/24)+DATE(1970,1,1)</f>
        <v>42921.208333333328</v>
      </c>
      <c r="R672" t="b">
        <v>0</v>
      </c>
      <c r="S672" t="b">
        <v>0</v>
      </c>
      <c r="T672" t="s">
        <v>33</v>
      </c>
      <c r="U672" t="str">
        <f>+LEFT(Table1[[#This Row],[category &amp; sub-category]],FIND("/",Table1[[#This Row],[category &amp; sub-category]])-1)</f>
        <v>theater</v>
      </c>
      <c r="V672" t="str">
        <f>+RIGHT(Table1[[#This Row],[category &amp; sub-category]],LEN(Table1[[#This Row],[category &amp; sub-category]])-SEARCH("/",Table1[[#This Row],[category &amp; sub-category]]))</f>
        <v>plays</v>
      </c>
    </row>
    <row r="673" spans="2:22" ht="15.75" customHeight="1" x14ac:dyDescent="0.25">
      <c r="B673">
        <v>670</v>
      </c>
      <c r="C673" t="s">
        <v>1334</v>
      </c>
      <c r="D673" s="3" t="s">
        <v>1381</v>
      </c>
      <c r="E673" s="6">
        <v>16200</v>
      </c>
      <c r="F673" s="6">
        <v>75955</v>
      </c>
      <c r="G673" s="17">
        <f>ROUND(Table1[[#This Row],[pledged]]/Table1[[#This Row],[goal]]*100,2)</f>
        <v>468.86</v>
      </c>
      <c r="H673" s="5">
        <f>+Table1[[#This Row],[pledged]]/Table1[[#This Row],[goal]]</f>
        <v>4.6885802469135802</v>
      </c>
      <c r="I673" t="s">
        <v>20</v>
      </c>
      <c r="J673">
        <v>1101</v>
      </c>
      <c r="K673" s="8">
        <f>IFERROR(Table1[[#This Row],[pledged]]/Table1[[#This Row],[backers_count]],"NA")</f>
        <v>68.987284287011803</v>
      </c>
      <c r="L673" t="s">
        <v>21</v>
      </c>
      <c r="M673" t="s">
        <v>22</v>
      </c>
      <c r="N673">
        <v>1456380000</v>
      </c>
      <c r="O673">
        <v>1457416800</v>
      </c>
      <c r="P673" s="11">
        <f>+(((Table1[[#This Row],[launched_at]]/60)/60)/24)+DATE(1970,1,1)</f>
        <v>42425.25</v>
      </c>
      <c r="Q673" s="11">
        <f>+(((Table1[[#This Row],[deadline]]/60)/60)/24)+DATE(1970,1,1)</f>
        <v>42437.25</v>
      </c>
      <c r="R673" t="b">
        <v>0</v>
      </c>
      <c r="S673" t="b">
        <v>0</v>
      </c>
      <c r="T673" t="s">
        <v>60</v>
      </c>
      <c r="U673" t="str">
        <f>+LEFT(Table1[[#This Row],[category &amp; sub-category]],FIND("/",Table1[[#This Row],[category &amp; sub-category]])-1)</f>
        <v>music</v>
      </c>
      <c r="V673" t="str">
        <f>+RIGHT(Table1[[#This Row],[category &amp; sub-category]],LEN(Table1[[#This Row],[category &amp; sub-category]])-SEARCH("/",Table1[[#This Row],[category &amp; sub-category]]))</f>
        <v>indie rock</v>
      </c>
    </row>
    <row r="674" spans="2:22" ht="15.75" customHeight="1" x14ac:dyDescent="0.25">
      <c r="B674">
        <v>671</v>
      </c>
      <c r="C674" t="s">
        <v>1382</v>
      </c>
      <c r="D674" s="3" t="s">
        <v>1383</v>
      </c>
      <c r="E674" s="6">
        <v>97600</v>
      </c>
      <c r="F674" s="6">
        <v>119127</v>
      </c>
      <c r="G674" s="17">
        <f>ROUND(Table1[[#This Row],[pledged]]/Table1[[#This Row],[goal]]*100,2)</f>
        <v>122.06</v>
      </c>
      <c r="H674" s="5">
        <f>+Table1[[#This Row],[pledged]]/Table1[[#This Row],[goal]]</f>
        <v>1.220563524590164</v>
      </c>
      <c r="I674" t="s">
        <v>20</v>
      </c>
      <c r="J674">
        <v>1073</v>
      </c>
      <c r="K674" s="8">
        <f>IFERROR(Table1[[#This Row],[pledged]]/Table1[[#This Row],[backers_count]],"NA")</f>
        <v>111.02236719478098</v>
      </c>
      <c r="L674" t="s">
        <v>21</v>
      </c>
      <c r="M674" t="s">
        <v>22</v>
      </c>
      <c r="N674">
        <v>1280552400</v>
      </c>
      <c r="O674">
        <v>1280898000</v>
      </c>
      <c r="P674" s="11">
        <f>+(((Table1[[#This Row],[launched_at]]/60)/60)/24)+DATE(1970,1,1)</f>
        <v>40390.208333333336</v>
      </c>
      <c r="Q674" s="11">
        <f>+(((Table1[[#This Row],[deadline]]/60)/60)/24)+DATE(1970,1,1)</f>
        <v>40394.208333333336</v>
      </c>
      <c r="R674" t="b">
        <v>0</v>
      </c>
      <c r="S674" t="b">
        <v>1</v>
      </c>
      <c r="T674" t="s">
        <v>33</v>
      </c>
      <c r="U674" t="str">
        <f>+LEFT(Table1[[#This Row],[category &amp; sub-category]],FIND("/",Table1[[#This Row],[category &amp; sub-category]])-1)</f>
        <v>theater</v>
      </c>
      <c r="V674" t="str">
        <f>+RIGHT(Table1[[#This Row],[category &amp; sub-category]],LEN(Table1[[#This Row],[category &amp; sub-category]])-SEARCH("/",Table1[[#This Row],[category &amp; sub-category]]))</f>
        <v>plays</v>
      </c>
    </row>
    <row r="675" spans="2:22" ht="15.75" customHeight="1" x14ac:dyDescent="0.25">
      <c r="B675">
        <v>672</v>
      </c>
      <c r="C675" t="s">
        <v>1384</v>
      </c>
      <c r="D675" s="3" t="s">
        <v>1385</v>
      </c>
      <c r="E675" s="6">
        <v>197900</v>
      </c>
      <c r="F675" s="6">
        <v>110689</v>
      </c>
      <c r="G675" s="17">
        <f>ROUND(Table1[[#This Row],[pledged]]/Table1[[#This Row],[goal]]*100,2)</f>
        <v>55.93</v>
      </c>
      <c r="H675" s="5">
        <f>+Table1[[#This Row],[pledged]]/Table1[[#This Row],[goal]]</f>
        <v>0.55931783729156137</v>
      </c>
      <c r="I675" t="s">
        <v>14</v>
      </c>
      <c r="J675">
        <v>4428</v>
      </c>
      <c r="K675" s="8">
        <f>IFERROR(Table1[[#This Row],[pledged]]/Table1[[#This Row],[backers_count]],"NA")</f>
        <v>24.997515808491418</v>
      </c>
      <c r="L675" t="s">
        <v>26</v>
      </c>
      <c r="M675" t="s">
        <v>27</v>
      </c>
      <c r="N675">
        <v>1521608400</v>
      </c>
      <c r="O675">
        <v>1522472400</v>
      </c>
      <c r="P675" s="11">
        <f>+(((Table1[[#This Row],[launched_at]]/60)/60)/24)+DATE(1970,1,1)</f>
        <v>43180.208333333328</v>
      </c>
      <c r="Q675" s="11">
        <f>+(((Table1[[#This Row],[deadline]]/60)/60)/24)+DATE(1970,1,1)</f>
        <v>43190.208333333328</v>
      </c>
      <c r="R675" t="b">
        <v>0</v>
      </c>
      <c r="S675" t="b">
        <v>0</v>
      </c>
      <c r="T675" t="s">
        <v>33</v>
      </c>
      <c r="U675" t="str">
        <f>+LEFT(Table1[[#This Row],[category &amp; sub-category]],FIND("/",Table1[[#This Row],[category &amp; sub-category]])-1)</f>
        <v>theater</v>
      </c>
      <c r="V675" t="str">
        <f>+RIGHT(Table1[[#This Row],[category &amp; sub-category]],LEN(Table1[[#This Row],[category &amp; sub-category]])-SEARCH("/",Table1[[#This Row],[category &amp; sub-category]]))</f>
        <v>plays</v>
      </c>
    </row>
    <row r="676" spans="2:22" ht="15.75" customHeight="1" x14ac:dyDescent="0.25">
      <c r="B676">
        <v>673</v>
      </c>
      <c r="C676" t="s">
        <v>1386</v>
      </c>
      <c r="D676" s="3" t="s">
        <v>1387</v>
      </c>
      <c r="E676" s="6">
        <v>5600</v>
      </c>
      <c r="F676" s="6">
        <v>2445</v>
      </c>
      <c r="G676" s="17">
        <f>ROUND(Table1[[#This Row],[pledged]]/Table1[[#This Row],[goal]]*100,2)</f>
        <v>43.66</v>
      </c>
      <c r="H676" s="5">
        <f>+Table1[[#This Row],[pledged]]/Table1[[#This Row],[goal]]</f>
        <v>0.43660714285714286</v>
      </c>
      <c r="I676" t="s">
        <v>14</v>
      </c>
      <c r="J676">
        <v>58</v>
      </c>
      <c r="K676" s="8">
        <f>IFERROR(Table1[[#This Row],[pledged]]/Table1[[#This Row],[backers_count]],"NA")</f>
        <v>42.155172413793103</v>
      </c>
      <c r="L676" t="s">
        <v>107</v>
      </c>
      <c r="M676" t="s">
        <v>108</v>
      </c>
      <c r="N676">
        <v>1460696400</v>
      </c>
      <c r="O676">
        <v>1462510800</v>
      </c>
      <c r="P676" s="11">
        <f>+(((Table1[[#This Row],[launched_at]]/60)/60)/24)+DATE(1970,1,1)</f>
        <v>42475.208333333328</v>
      </c>
      <c r="Q676" s="11">
        <f>+(((Table1[[#This Row],[deadline]]/60)/60)/24)+DATE(1970,1,1)</f>
        <v>42496.208333333328</v>
      </c>
      <c r="R676" t="b">
        <v>0</v>
      </c>
      <c r="S676" t="b">
        <v>0</v>
      </c>
      <c r="T676" t="s">
        <v>60</v>
      </c>
      <c r="U676" t="str">
        <f>+LEFT(Table1[[#This Row],[category &amp; sub-category]],FIND("/",Table1[[#This Row],[category &amp; sub-category]])-1)</f>
        <v>music</v>
      </c>
      <c r="V676" t="str">
        <f>+RIGHT(Table1[[#This Row],[category &amp; sub-category]],LEN(Table1[[#This Row],[category &amp; sub-category]])-SEARCH("/",Table1[[#This Row],[category &amp; sub-category]]))</f>
        <v>indie rock</v>
      </c>
    </row>
    <row r="677" spans="2:22" ht="15.75" customHeight="1" x14ac:dyDescent="0.25">
      <c r="B677">
        <v>674</v>
      </c>
      <c r="C677" t="s">
        <v>1388</v>
      </c>
      <c r="D677" s="3" t="s">
        <v>1389</v>
      </c>
      <c r="E677" s="6">
        <v>170700</v>
      </c>
      <c r="F677" s="6">
        <v>57250</v>
      </c>
      <c r="G677" s="17">
        <f>ROUND(Table1[[#This Row],[pledged]]/Table1[[#This Row],[goal]]*100,2)</f>
        <v>33.54</v>
      </c>
      <c r="H677" s="5">
        <f>+Table1[[#This Row],[pledged]]/Table1[[#This Row],[goal]]</f>
        <v>0.33538371411833628</v>
      </c>
      <c r="I677" t="s">
        <v>74</v>
      </c>
      <c r="J677">
        <v>1218</v>
      </c>
      <c r="K677" s="8">
        <f>IFERROR(Table1[[#This Row],[pledged]]/Table1[[#This Row],[backers_count]],"NA")</f>
        <v>47.003284072249592</v>
      </c>
      <c r="L677" t="s">
        <v>21</v>
      </c>
      <c r="M677" t="s">
        <v>22</v>
      </c>
      <c r="N677">
        <v>1313730000</v>
      </c>
      <c r="O677">
        <v>1317790800</v>
      </c>
      <c r="P677" s="11">
        <f>+(((Table1[[#This Row],[launched_at]]/60)/60)/24)+DATE(1970,1,1)</f>
        <v>40774.208333333336</v>
      </c>
      <c r="Q677" s="11">
        <f>+(((Table1[[#This Row],[deadline]]/60)/60)/24)+DATE(1970,1,1)</f>
        <v>40821.208333333336</v>
      </c>
      <c r="R677" t="b">
        <v>0</v>
      </c>
      <c r="S677" t="b">
        <v>0</v>
      </c>
      <c r="T677" t="s">
        <v>122</v>
      </c>
      <c r="U677" t="str">
        <f>+LEFT(Table1[[#This Row],[category &amp; sub-category]],FIND("/",Table1[[#This Row],[category &amp; sub-category]])-1)</f>
        <v>photography</v>
      </c>
      <c r="V677" t="str">
        <f>+RIGHT(Table1[[#This Row],[category &amp; sub-category]],LEN(Table1[[#This Row],[category &amp; sub-category]])-SEARCH("/",Table1[[#This Row],[category &amp; sub-category]]))</f>
        <v>photography books</v>
      </c>
    </row>
    <row r="678" spans="2:22" ht="15.75" customHeight="1" x14ac:dyDescent="0.25">
      <c r="B678">
        <v>675</v>
      </c>
      <c r="C678" t="s">
        <v>1390</v>
      </c>
      <c r="D678" s="3" t="s">
        <v>1391</v>
      </c>
      <c r="E678" s="6">
        <v>9700</v>
      </c>
      <c r="F678" s="6">
        <v>11929</v>
      </c>
      <c r="G678" s="17">
        <f>ROUND(Table1[[#This Row],[pledged]]/Table1[[#This Row],[goal]]*100,2)</f>
        <v>122.98</v>
      </c>
      <c r="H678" s="5">
        <f>+Table1[[#This Row],[pledged]]/Table1[[#This Row],[goal]]</f>
        <v>1.2297938144329896</v>
      </c>
      <c r="I678" t="s">
        <v>20</v>
      </c>
      <c r="J678">
        <v>331</v>
      </c>
      <c r="K678" s="8">
        <f>IFERROR(Table1[[#This Row],[pledged]]/Table1[[#This Row],[backers_count]],"NA")</f>
        <v>36.0392749244713</v>
      </c>
      <c r="L678" t="s">
        <v>21</v>
      </c>
      <c r="M678" t="s">
        <v>22</v>
      </c>
      <c r="N678">
        <v>1568178000</v>
      </c>
      <c r="O678">
        <v>1568782800</v>
      </c>
      <c r="P678" s="11">
        <f>+(((Table1[[#This Row],[launched_at]]/60)/60)/24)+DATE(1970,1,1)</f>
        <v>43719.208333333328</v>
      </c>
      <c r="Q678" s="11">
        <f>+(((Table1[[#This Row],[deadline]]/60)/60)/24)+DATE(1970,1,1)</f>
        <v>43726.208333333328</v>
      </c>
      <c r="R678" t="b">
        <v>0</v>
      </c>
      <c r="S678" t="b">
        <v>0</v>
      </c>
      <c r="T678" t="s">
        <v>1029</v>
      </c>
      <c r="U678" t="str">
        <f>+LEFT(Table1[[#This Row],[category &amp; sub-category]],FIND("/",Table1[[#This Row],[category &amp; sub-category]])-1)</f>
        <v>journalism</v>
      </c>
      <c r="V678" t="str">
        <f>+RIGHT(Table1[[#This Row],[category &amp; sub-category]],LEN(Table1[[#This Row],[category &amp; sub-category]])-SEARCH("/",Table1[[#This Row],[category &amp; sub-category]]))</f>
        <v>audio</v>
      </c>
    </row>
    <row r="679" spans="2:22" ht="15.75" customHeight="1" x14ac:dyDescent="0.25">
      <c r="B679">
        <v>676</v>
      </c>
      <c r="C679" t="s">
        <v>1392</v>
      </c>
      <c r="D679" s="3" t="s">
        <v>1393</v>
      </c>
      <c r="E679" s="6">
        <v>62300</v>
      </c>
      <c r="F679" s="6">
        <v>118214</v>
      </c>
      <c r="G679" s="17">
        <f>ROUND(Table1[[#This Row],[pledged]]/Table1[[#This Row],[goal]]*100,2)</f>
        <v>189.75</v>
      </c>
      <c r="H679" s="5">
        <f>+Table1[[#This Row],[pledged]]/Table1[[#This Row],[goal]]</f>
        <v>1.8974959871589085</v>
      </c>
      <c r="I679" t="s">
        <v>20</v>
      </c>
      <c r="J679">
        <v>1170</v>
      </c>
      <c r="K679" s="8">
        <f>IFERROR(Table1[[#This Row],[pledged]]/Table1[[#This Row],[backers_count]],"NA")</f>
        <v>101.03760683760684</v>
      </c>
      <c r="L679" t="s">
        <v>21</v>
      </c>
      <c r="M679" t="s">
        <v>22</v>
      </c>
      <c r="N679">
        <v>1348635600</v>
      </c>
      <c r="O679">
        <v>1349413200</v>
      </c>
      <c r="P679" s="11">
        <f>+(((Table1[[#This Row],[launched_at]]/60)/60)/24)+DATE(1970,1,1)</f>
        <v>41178.208333333336</v>
      </c>
      <c r="Q679" s="11">
        <f>+(((Table1[[#This Row],[deadline]]/60)/60)/24)+DATE(1970,1,1)</f>
        <v>41187.208333333336</v>
      </c>
      <c r="R679" t="b">
        <v>0</v>
      </c>
      <c r="S679" t="b">
        <v>0</v>
      </c>
      <c r="T679" t="s">
        <v>122</v>
      </c>
      <c r="U679" t="str">
        <f>+LEFT(Table1[[#This Row],[category &amp; sub-category]],FIND("/",Table1[[#This Row],[category &amp; sub-category]])-1)</f>
        <v>photography</v>
      </c>
      <c r="V679" t="str">
        <f>+RIGHT(Table1[[#This Row],[category &amp; sub-category]],LEN(Table1[[#This Row],[category &amp; sub-category]])-SEARCH("/",Table1[[#This Row],[category &amp; sub-category]]))</f>
        <v>photography books</v>
      </c>
    </row>
    <row r="680" spans="2:22" ht="15.75" customHeight="1" x14ac:dyDescent="0.25">
      <c r="B680">
        <v>677</v>
      </c>
      <c r="C680" t="s">
        <v>1394</v>
      </c>
      <c r="D680" s="3" t="s">
        <v>1395</v>
      </c>
      <c r="E680" s="6">
        <v>5300</v>
      </c>
      <c r="F680" s="6">
        <v>4432</v>
      </c>
      <c r="G680" s="17">
        <f>ROUND(Table1[[#This Row],[pledged]]/Table1[[#This Row],[goal]]*100,2)</f>
        <v>83.62</v>
      </c>
      <c r="H680" s="5">
        <f>+Table1[[#This Row],[pledged]]/Table1[[#This Row],[goal]]</f>
        <v>0.83622641509433959</v>
      </c>
      <c r="I680" t="s">
        <v>14</v>
      </c>
      <c r="J680">
        <v>111</v>
      </c>
      <c r="K680" s="8">
        <f>IFERROR(Table1[[#This Row],[pledged]]/Table1[[#This Row],[backers_count]],"NA")</f>
        <v>39.927927927927925</v>
      </c>
      <c r="L680" t="s">
        <v>21</v>
      </c>
      <c r="M680" t="s">
        <v>22</v>
      </c>
      <c r="N680">
        <v>1468126800</v>
      </c>
      <c r="O680">
        <v>1472446800</v>
      </c>
      <c r="P680" s="11">
        <f>+(((Table1[[#This Row],[launched_at]]/60)/60)/24)+DATE(1970,1,1)</f>
        <v>42561.208333333328</v>
      </c>
      <c r="Q680" s="11">
        <f>+(((Table1[[#This Row],[deadline]]/60)/60)/24)+DATE(1970,1,1)</f>
        <v>42611.208333333328</v>
      </c>
      <c r="R680" t="b">
        <v>0</v>
      </c>
      <c r="S680" t="b">
        <v>0</v>
      </c>
      <c r="T680" t="s">
        <v>119</v>
      </c>
      <c r="U680" t="str">
        <f>+LEFT(Table1[[#This Row],[category &amp; sub-category]],FIND("/",Table1[[#This Row],[category &amp; sub-category]])-1)</f>
        <v>publishing</v>
      </c>
      <c r="V680" t="str">
        <f>+RIGHT(Table1[[#This Row],[category &amp; sub-category]],LEN(Table1[[#This Row],[category &amp; sub-category]])-SEARCH("/",Table1[[#This Row],[category &amp; sub-category]]))</f>
        <v>fiction</v>
      </c>
    </row>
    <row r="681" spans="2:22" ht="15.75" customHeight="1" x14ac:dyDescent="0.25">
      <c r="B681">
        <v>678</v>
      </c>
      <c r="C681" t="s">
        <v>1396</v>
      </c>
      <c r="D681" s="3" t="s">
        <v>1397</v>
      </c>
      <c r="E681" s="6">
        <v>99500</v>
      </c>
      <c r="F681" s="6">
        <v>17879</v>
      </c>
      <c r="G681" s="17">
        <f>ROUND(Table1[[#This Row],[pledged]]/Table1[[#This Row],[goal]]*100,2)</f>
        <v>17.97</v>
      </c>
      <c r="H681" s="5">
        <f>+Table1[[#This Row],[pledged]]/Table1[[#This Row],[goal]]</f>
        <v>0.17968844221105529</v>
      </c>
      <c r="I681" t="s">
        <v>74</v>
      </c>
      <c r="J681">
        <v>215</v>
      </c>
      <c r="K681" s="8">
        <f>IFERROR(Table1[[#This Row],[pledged]]/Table1[[#This Row],[backers_count]],"NA")</f>
        <v>83.158139534883716</v>
      </c>
      <c r="L681" t="s">
        <v>21</v>
      </c>
      <c r="M681" t="s">
        <v>22</v>
      </c>
      <c r="N681">
        <v>1547877600</v>
      </c>
      <c r="O681">
        <v>1548050400</v>
      </c>
      <c r="P681" s="11">
        <f>+(((Table1[[#This Row],[launched_at]]/60)/60)/24)+DATE(1970,1,1)</f>
        <v>43484.25</v>
      </c>
      <c r="Q681" s="11">
        <f>+(((Table1[[#This Row],[deadline]]/60)/60)/24)+DATE(1970,1,1)</f>
        <v>43486.25</v>
      </c>
      <c r="R681" t="b">
        <v>0</v>
      </c>
      <c r="S681" t="b">
        <v>0</v>
      </c>
      <c r="T681" t="s">
        <v>53</v>
      </c>
      <c r="U681" t="str">
        <f>+LEFT(Table1[[#This Row],[category &amp; sub-category]],FIND("/",Table1[[#This Row],[category &amp; sub-category]])-1)</f>
        <v>film &amp; video</v>
      </c>
      <c r="V681" t="str">
        <f>+RIGHT(Table1[[#This Row],[category &amp; sub-category]],LEN(Table1[[#This Row],[category &amp; sub-category]])-SEARCH("/",Table1[[#This Row],[category &amp; sub-category]]))</f>
        <v>drama</v>
      </c>
    </row>
    <row r="682" spans="2:22" ht="15.75" customHeight="1" x14ac:dyDescent="0.25">
      <c r="B682">
        <v>679</v>
      </c>
      <c r="C682" t="s">
        <v>668</v>
      </c>
      <c r="D682" s="3" t="s">
        <v>1398</v>
      </c>
      <c r="E682" s="6">
        <v>1400</v>
      </c>
      <c r="F682" s="6">
        <v>14511</v>
      </c>
      <c r="G682" s="17">
        <f>ROUND(Table1[[#This Row],[pledged]]/Table1[[#This Row],[goal]]*100,2)</f>
        <v>1036.5</v>
      </c>
      <c r="H682" s="5">
        <f>+Table1[[#This Row],[pledged]]/Table1[[#This Row],[goal]]</f>
        <v>10.365</v>
      </c>
      <c r="I682" t="s">
        <v>20</v>
      </c>
      <c r="J682">
        <v>363</v>
      </c>
      <c r="K682" s="8">
        <f>IFERROR(Table1[[#This Row],[pledged]]/Table1[[#This Row],[backers_count]],"NA")</f>
        <v>39.97520661157025</v>
      </c>
      <c r="L682" t="s">
        <v>21</v>
      </c>
      <c r="M682" t="s">
        <v>22</v>
      </c>
      <c r="N682">
        <v>1571374800</v>
      </c>
      <c r="O682">
        <v>1571806800</v>
      </c>
      <c r="P682" s="11">
        <f>+(((Table1[[#This Row],[launched_at]]/60)/60)/24)+DATE(1970,1,1)</f>
        <v>43756.208333333328</v>
      </c>
      <c r="Q682" s="11">
        <f>+(((Table1[[#This Row],[deadline]]/60)/60)/24)+DATE(1970,1,1)</f>
        <v>43761.208333333328</v>
      </c>
      <c r="R682" t="b">
        <v>0</v>
      </c>
      <c r="S682" t="b">
        <v>1</v>
      </c>
      <c r="T682" t="s">
        <v>17</v>
      </c>
      <c r="U682" t="str">
        <f>+LEFT(Table1[[#This Row],[category &amp; sub-category]],FIND("/",Table1[[#This Row],[category &amp; sub-category]])-1)</f>
        <v>food</v>
      </c>
      <c r="V682" t="str">
        <f>+RIGHT(Table1[[#This Row],[category &amp; sub-category]],LEN(Table1[[#This Row],[category &amp; sub-category]])-SEARCH("/",Table1[[#This Row],[category &amp; sub-category]]))</f>
        <v>food trucks</v>
      </c>
    </row>
    <row r="683" spans="2:22" ht="15.75" customHeight="1" x14ac:dyDescent="0.25">
      <c r="B683">
        <v>680</v>
      </c>
      <c r="C683" t="s">
        <v>1399</v>
      </c>
      <c r="D683" s="3" t="s">
        <v>1400</v>
      </c>
      <c r="E683" s="6">
        <v>145600</v>
      </c>
      <c r="F683" s="6">
        <v>141822</v>
      </c>
      <c r="G683" s="17">
        <f>ROUND(Table1[[#This Row],[pledged]]/Table1[[#This Row],[goal]]*100,2)</f>
        <v>97.41</v>
      </c>
      <c r="H683" s="5">
        <f>+Table1[[#This Row],[pledged]]/Table1[[#This Row],[goal]]</f>
        <v>0.97405219780219776</v>
      </c>
      <c r="I683" t="s">
        <v>14</v>
      </c>
      <c r="J683">
        <v>2955</v>
      </c>
      <c r="K683" s="8">
        <f>IFERROR(Table1[[#This Row],[pledged]]/Table1[[#This Row],[backers_count]],"NA")</f>
        <v>47.993908629441627</v>
      </c>
      <c r="L683" t="s">
        <v>21</v>
      </c>
      <c r="M683" t="s">
        <v>22</v>
      </c>
      <c r="N683">
        <v>1576303200</v>
      </c>
      <c r="O683">
        <v>1576476000</v>
      </c>
      <c r="P683" s="11">
        <f>+(((Table1[[#This Row],[launched_at]]/60)/60)/24)+DATE(1970,1,1)</f>
        <v>43813.25</v>
      </c>
      <c r="Q683" s="11">
        <f>+(((Table1[[#This Row],[deadline]]/60)/60)/24)+DATE(1970,1,1)</f>
        <v>43815.25</v>
      </c>
      <c r="R683" t="b">
        <v>0</v>
      </c>
      <c r="S683" t="b">
        <v>1</v>
      </c>
      <c r="T683" t="s">
        <v>292</v>
      </c>
      <c r="U683" t="str">
        <f>+LEFT(Table1[[#This Row],[category &amp; sub-category]],FIND("/",Table1[[#This Row],[category &amp; sub-category]])-1)</f>
        <v>games</v>
      </c>
      <c r="V683" t="str">
        <f>+RIGHT(Table1[[#This Row],[category &amp; sub-category]],LEN(Table1[[#This Row],[category &amp; sub-category]])-SEARCH("/",Table1[[#This Row],[category &amp; sub-category]]))</f>
        <v>mobile games</v>
      </c>
    </row>
    <row r="684" spans="2:22" ht="15.75" customHeight="1" x14ac:dyDescent="0.25">
      <c r="B684">
        <v>681</v>
      </c>
      <c r="C684" t="s">
        <v>1401</v>
      </c>
      <c r="D684" s="3" t="s">
        <v>1402</v>
      </c>
      <c r="E684" s="6">
        <v>184100</v>
      </c>
      <c r="F684" s="6">
        <v>159037</v>
      </c>
      <c r="G684" s="17">
        <f>ROUND(Table1[[#This Row],[pledged]]/Table1[[#This Row],[goal]]*100,2)</f>
        <v>86.39</v>
      </c>
      <c r="H684" s="5">
        <f>+Table1[[#This Row],[pledged]]/Table1[[#This Row],[goal]]</f>
        <v>0.86386203150461705</v>
      </c>
      <c r="I684" t="s">
        <v>14</v>
      </c>
      <c r="J684">
        <v>1657</v>
      </c>
      <c r="K684" s="8">
        <f>IFERROR(Table1[[#This Row],[pledged]]/Table1[[#This Row],[backers_count]],"NA")</f>
        <v>95.978877489438744</v>
      </c>
      <c r="L684" t="s">
        <v>21</v>
      </c>
      <c r="M684" t="s">
        <v>22</v>
      </c>
      <c r="N684">
        <v>1324447200</v>
      </c>
      <c r="O684">
        <v>1324965600</v>
      </c>
      <c r="P684" s="11">
        <f>+(((Table1[[#This Row],[launched_at]]/60)/60)/24)+DATE(1970,1,1)</f>
        <v>40898.25</v>
      </c>
      <c r="Q684" s="11">
        <f>+(((Table1[[#This Row],[deadline]]/60)/60)/24)+DATE(1970,1,1)</f>
        <v>40904.25</v>
      </c>
      <c r="R684" t="b">
        <v>0</v>
      </c>
      <c r="S684" t="b">
        <v>0</v>
      </c>
      <c r="T684" t="s">
        <v>33</v>
      </c>
      <c r="U684" t="str">
        <f>+LEFT(Table1[[#This Row],[category &amp; sub-category]],FIND("/",Table1[[#This Row],[category &amp; sub-category]])-1)</f>
        <v>theater</v>
      </c>
      <c r="V684" t="str">
        <f>+RIGHT(Table1[[#This Row],[category &amp; sub-category]],LEN(Table1[[#This Row],[category &amp; sub-category]])-SEARCH("/",Table1[[#This Row],[category &amp; sub-category]]))</f>
        <v>plays</v>
      </c>
    </row>
    <row r="685" spans="2:22" ht="15.75" customHeight="1" x14ac:dyDescent="0.25">
      <c r="B685">
        <v>682</v>
      </c>
      <c r="C685" t="s">
        <v>1403</v>
      </c>
      <c r="D685" s="3" t="s">
        <v>1404</v>
      </c>
      <c r="E685" s="6">
        <v>5400</v>
      </c>
      <c r="F685" s="6">
        <v>8109</v>
      </c>
      <c r="G685" s="17">
        <f>ROUND(Table1[[#This Row],[pledged]]/Table1[[#This Row],[goal]]*100,2)</f>
        <v>150.16999999999999</v>
      </c>
      <c r="H685" s="5">
        <f>+Table1[[#This Row],[pledged]]/Table1[[#This Row],[goal]]</f>
        <v>1.5016666666666667</v>
      </c>
      <c r="I685" t="s">
        <v>20</v>
      </c>
      <c r="J685">
        <v>103</v>
      </c>
      <c r="K685" s="8">
        <f>IFERROR(Table1[[#This Row],[pledged]]/Table1[[#This Row],[backers_count]],"NA")</f>
        <v>78.728155339805824</v>
      </c>
      <c r="L685" t="s">
        <v>21</v>
      </c>
      <c r="M685" t="s">
        <v>22</v>
      </c>
      <c r="N685">
        <v>1386741600</v>
      </c>
      <c r="O685">
        <v>1387519200</v>
      </c>
      <c r="P685" s="11">
        <f>+(((Table1[[#This Row],[launched_at]]/60)/60)/24)+DATE(1970,1,1)</f>
        <v>41619.25</v>
      </c>
      <c r="Q685" s="11">
        <f>+(((Table1[[#This Row],[deadline]]/60)/60)/24)+DATE(1970,1,1)</f>
        <v>41628.25</v>
      </c>
      <c r="R685" t="b">
        <v>0</v>
      </c>
      <c r="S685" t="b">
        <v>0</v>
      </c>
      <c r="T685" t="s">
        <v>33</v>
      </c>
      <c r="U685" t="str">
        <f>+LEFT(Table1[[#This Row],[category &amp; sub-category]],FIND("/",Table1[[#This Row],[category &amp; sub-category]])-1)</f>
        <v>theater</v>
      </c>
      <c r="V685" t="str">
        <f>+RIGHT(Table1[[#This Row],[category &amp; sub-category]],LEN(Table1[[#This Row],[category &amp; sub-category]])-SEARCH("/",Table1[[#This Row],[category &amp; sub-category]]))</f>
        <v>plays</v>
      </c>
    </row>
    <row r="686" spans="2:22" ht="15.75" customHeight="1" x14ac:dyDescent="0.25">
      <c r="B686">
        <v>683</v>
      </c>
      <c r="C686" t="s">
        <v>1405</v>
      </c>
      <c r="D686" s="3" t="s">
        <v>1406</v>
      </c>
      <c r="E686" s="6">
        <v>2300</v>
      </c>
      <c r="F686" s="6">
        <v>8244</v>
      </c>
      <c r="G686" s="17">
        <f>ROUND(Table1[[#This Row],[pledged]]/Table1[[#This Row],[goal]]*100,2)</f>
        <v>358.43</v>
      </c>
      <c r="H686" s="5">
        <f>+Table1[[#This Row],[pledged]]/Table1[[#This Row],[goal]]</f>
        <v>3.5843478260869563</v>
      </c>
      <c r="I686" t="s">
        <v>20</v>
      </c>
      <c r="J686">
        <v>147</v>
      </c>
      <c r="K686" s="8">
        <f>IFERROR(Table1[[#This Row],[pledged]]/Table1[[#This Row],[backers_count]],"NA")</f>
        <v>56.081632653061227</v>
      </c>
      <c r="L686" t="s">
        <v>21</v>
      </c>
      <c r="M686" t="s">
        <v>22</v>
      </c>
      <c r="N686">
        <v>1537074000</v>
      </c>
      <c r="O686">
        <v>1537246800</v>
      </c>
      <c r="P686" s="11">
        <f>+(((Table1[[#This Row],[launched_at]]/60)/60)/24)+DATE(1970,1,1)</f>
        <v>43359.208333333328</v>
      </c>
      <c r="Q686" s="11">
        <f>+(((Table1[[#This Row],[deadline]]/60)/60)/24)+DATE(1970,1,1)</f>
        <v>43361.208333333328</v>
      </c>
      <c r="R686" t="b">
        <v>0</v>
      </c>
      <c r="S686" t="b">
        <v>0</v>
      </c>
      <c r="T686" t="s">
        <v>33</v>
      </c>
      <c r="U686" t="str">
        <f>+LEFT(Table1[[#This Row],[category &amp; sub-category]],FIND("/",Table1[[#This Row],[category &amp; sub-category]])-1)</f>
        <v>theater</v>
      </c>
      <c r="V686" t="str">
        <f>+RIGHT(Table1[[#This Row],[category &amp; sub-category]],LEN(Table1[[#This Row],[category &amp; sub-category]])-SEARCH("/",Table1[[#This Row],[category &amp; sub-category]]))</f>
        <v>plays</v>
      </c>
    </row>
    <row r="687" spans="2:22" ht="15.75" customHeight="1" x14ac:dyDescent="0.25">
      <c r="B687">
        <v>684</v>
      </c>
      <c r="C687" t="s">
        <v>1407</v>
      </c>
      <c r="D687" s="3" t="s">
        <v>1408</v>
      </c>
      <c r="E687" s="6">
        <v>1400</v>
      </c>
      <c r="F687" s="6">
        <v>7600</v>
      </c>
      <c r="G687" s="17">
        <f>ROUND(Table1[[#This Row],[pledged]]/Table1[[#This Row],[goal]]*100,2)</f>
        <v>542.86</v>
      </c>
      <c r="H687" s="5">
        <f>+Table1[[#This Row],[pledged]]/Table1[[#This Row],[goal]]</f>
        <v>5.4285714285714288</v>
      </c>
      <c r="I687" t="s">
        <v>20</v>
      </c>
      <c r="J687">
        <v>110</v>
      </c>
      <c r="K687" s="8">
        <f>IFERROR(Table1[[#This Row],[pledged]]/Table1[[#This Row],[backers_count]],"NA")</f>
        <v>69.090909090909093</v>
      </c>
      <c r="L687" t="s">
        <v>15</v>
      </c>
      <c r="M687" t="s">
        <v>16</v>
      </c>
      <c r="N687">
        <v>1277787600</v>
      </c>
      <c r="O687">
        <v>1279515600</v>
      </c>
      <c r="P687" s="11">
        <f>+(((Table1[[#This Row],[launched_at]]/60)/60)/24)+DATE(1970,1,1)</f>
        <v>40358.208333333336</v>
      </c>
      <c r="Q687" s="11">
        <f>+(((Table1[[#This Row],[deadline]]/60)/60)/24)+DATE(1970,1,1)</f>
        <v>40378.208333333336</v>
      </c>
      <c r="R687" t="b">
        <v>0</v>
      </c>
      <c r="S687" t="b">
        <v>0</v>
      </c>
      <c r="T687" t="s">
        <v>68</v>
      </c>
      <c r="U687" t="str">
        <f>+LEFT(Table1[[#This Row],[category &amp; sub-category]],FIND("/",Table1[[#This Row],[category &amp; sub-category]])-1)</f>
        <v>publishing</v>
      </c>
      <c r="V687" t="str">
        <f>+RIGHT(Table1[[#This Row],[category &amp; sub-category]],LEN(Table1[[#This Row],[category &amp; sub-category]])-SEARCH("/",Table1[[#This Row],[category &amp; sub-category]]))</f>
        <v>nonfiction</v>
      </c>
    </row>
    <row r="688" spans="2:22" ht="15.75" customHeight="1" x14ac:dyDescent="0.25">
      <c r="B688">
        <v>685</v>
      </c>
      <c r="C688" t="s">
        <v>1409</v>
      </c>
      <c r="D688" s="3" t="s">
        <v>1410</v>
      </c>
      <c r="E688" s="6">
        <v>140000</v>
      </c>
      <c r="F688" s="6">
        <v>94501</v>
      </c>
      <c r="G688" s="17">
        <f>ROUND(Table1[[#This Row],[pledged]]/Table1[[#This Row],[goal]]*100,2)</f>
        <v>67.5</v>
      </c>
      <c r="H688" s="5">
        <f>+Table1[[#This Row],[pledged]]/Table1[[#This Row],[goal]]</f>
        <v>0.67500714285714281</v>
      </c>
      <c r="I688" t="s">
        <v>14</v>
      </c>
      <c r="J688">
        <v>926</v>
      </c>
      <c r="K688" s="8">
        <f>IFERROR(Table1[[#This Row],[pledged]]/Table1[[#This Row],[backers_count]],"NA")</f>
        <v>102.05291576673866</v>
      </c>
      <c r="L688" t="s">
        <v>15</v>
      </c>
      <c r="M688" t="s">
        <v>16</v>
      </c>
      <c r="N688">
        <v>1440306000</v>
      </c>
      <c r="O688">
        <v>1442379600</v>
      </c>
      <c r="P688" s="11">
        <f>+(((Table1[[#This Row],[launched_at]]/60)/60)/24)+DATE(1970,1,1)</f>
        <v>42239.208333333328</v>
      </c>
      <c r="Q688" s="11">
        <f>+(((Table1[[#This Row],[deadline]]/60)/60)/24)+DATE(1970,1,1)</f>
        <v>42263.208333333328</v>
      </c>
      <c r="R688" t="b">
        <v>0</v>
      </c>
      <c r="S688" t="b">
        <v>0</v>
      </c>
      <c r="T688" t="s">
        <v>33</v>
      </c>
      <c r="U688" t="str">
        <f>+LEFT(Table1[[#This Row],[category &amp; sub-category]],FIND("/",Table1[[#This Row],[category &amp; sub-category]])-1)</f>
        <v>theater</v>
      </c>
      <c r="V688" t="str">
        <f>+RIGHT(Table1[[#This Row],[category &amp; sub-category]],LEN(Table1[[#This Row],[category &amp; sub-category]])-SEARCH("/",Table1[[#This Row],[category &amp; sub-category]]))</f>
        <v>plays</v>
      </c>
    </row>
    <row r="689" spans="2:22" ht="15.75" customHeight="1" x14ac:dyDescent="0.25">
      <c r="B689">
        <v>686</v>
      </c>
      <c r="C689" t="s">
        <v>1411</v>
      </c>
      <c r="D689" s="3" t="s">
        <v>1412</v>
      </c>
      <c r="E689" s="6">
        <v>7500</v>
      </c>
      <c r="F689" s="6">
        <v>14381</v>
      </c>
      <c r="G689" s="17">
        <f>ROUND(Table1[[#This Row],[pledged]]/Table1[[#This Row],[goal]]*100,2)</f>
        <v>191.75</v>
      </c>
      <c r="H689" s="5">
        <f>+Table1[[#This Row],[pledged]]/Table1[[#This Row],[goal]]</f>
        <v>1.9174666666666667</v>
      </c>
      <c r="I689" t="s">
        <v>20</v>
      </c>
      <c r="J689">
        <v>134</v>
      </c>
      <c r="K689" s="8">
        <f>IFERROR(Table1[[#This Row],[pledged]]/Table1[[#This Row],[backers_count]],"NA")</f>
        <v>107.32089552238806</v>
      </c>
      <c r="L689" t="s">
        <v>21</v>
      </c>
      <c r="M689" t="s">
        <v>22</v>
      </c>
      <c r="N689">
        <v>1522126800</v>
      </c>
      <c r="O689">
        <v>1523077200</v>
      </c>
      <c r="P689" s="11">
        <f>+(((Table1[[#This Row],[launched_at]]/60)/60)/24)+DATE(1970,1,1)</f>
        <v>43186.208333333328</v>
      </c>
      <c r="Q689" s="11">
        <f>+(((Table1[[#This Row],[deadline]]/60)/60)/24)+DATE(1970,1,1)</f>
        <v>43197.208333333328</v>
      </c>
      <c r="R689" t="b">
        <v>0</v>
      </c>
      <c r="S689" t="b">
        <v>0</v>
      </c>
      <c r="T689" t="s">
        <v>65</v>
      </c>
      <c r="U689" t="str">
        <f>+LEFT(Table1[[#This Row],[category &amp; sub-category]],FIND("/",Table1[[#This Row],[category &amp; sub-category]])-1)</f>
        <v>technology</v>
      </c>
      <c r="V689" t="str">
        <f>+RIGHT(Table1[[#This Row],[category &amp; sub-category]],LEN(Table1[[#This Row],[category &amp; sub-category]])-SEARCH("/",Table1[[#This Row],[category &amp; sub-category]]))</f>
        <v>wearables</v>
      </c>
    </row>
    <row r="690" spans="2:22" ht="15.75" customHeight="1" x14ac:dyDescent="0.25">
      <c r="B690">
        <v>687</v>
      </c>
      <c r="C690" t="s">
        <v>1413</v>
      </c>
      <c r="D690" s="3" t="s">
        <v>1414</v>
      </c>
      <c r="E690" s="6">
        <v>1500</v>
      </c>
      <c r="F690" s="6">
        <v>13980</v>
      </c>
      <c r="G690" s="17">
        <f>ROUND(Table1[[#This Row],[pledged]]/Table1[[#This Row],[goal]]*100,2)</f>
        <v>932</v>
      </c>
      <c r="H690" s="5">
        <f>+Table1[[#This Row],[pledged]]/Table1[[#This Row],[goal]]</f>
        <v>9.32</v>
      </c>
      <c r="I690" t="s">
        <v>20</v>
      </c>
      <c r="J690">
        <v>269</v>
      </c>
      <c r="K690" s="8">
        <f>IFERROR(Table1[[#This Row],[pledged]]/Table1[[#This Row],[backers_count]],"NA")</f>
        <v>51.970260223048328</v>
      </c>
      <c r="L690" t="s">
        <v>21</v>
      </c>
      <c r="M690" t="s">
        <v>22</v>
      </c>
      <c r="N690">
        <v>1489298400</v>
      </c>
      <c r="O690">
        <v>1489554000</v>
      </c>
      <c r="P690" s="11">
        <f>+(((Table1[[#This Row],[launched_at]]/60)/60)/24)+DATE(1970,1,1)</f>
        <v>42806.25</v>
      </c>
      <c r="Q690" s="11">
        <f>+(((Table1[[#This Row],[deadline]]/60)/60)/24)+DATE(1970,1,1)</f>
        <v>42809.208333333328</v>
      </c>
      <c r="R690" t="b">
        <v>0</v>
      </c>
      <c r="S690" t="b">
        <v>0</v>
      </c>
      <c r="T690" t="s">
        <v>33</v>
      </c>
      <c r="U690" t="str">
        <f>+LEFT(Table1[[#This Row],[category &amp; sub-category]],FIND("/",Table1[[#This Row],[category &amp; sub-category]])-1)</f>
        <v>theater</v>
      </c>
      <c r="V690" t="str">
        <f>+RIGHT(Table1[[#This Row],[category &amp; sub-category]],LEN(Table1[[#This Row],[category &amp; sub-category]])-SEARCH("/",Table1[[#This Row],[category &amp; sub-category]]))</f>
        <v>plays</v>
      </c>
    </row>
    <row r="691" spans="2:22" ht="15.75" customHeight="1" x14ac:dyDescent="0.25">
      <c r="B691">
        <v>688</v>
      </c>
      <c r="C691" t="s">
        <v>1415</v>
      </c>
      <c r="D691" s="3" t="s">
        <v>1416</v>
      </c>
      <c r="E691" s="6">
        <v>2900</v>
      </c>
      <c r="F691" s="6">
        <v>12449</v>
      </c>
      <c r="G691" s="17">
        <f>ROUND(Table1[[#This Row],[pledged]]/Table1[[#This Row],[goal]]*100,2)</f>
        <v>429.28</v>
      </c>
      <c r="H691" s="5">
        <f>+Table1[[#This Row],[pledged]]/Table1[[#This Row],[goal]]</f>
        <v>4.2927586206896553</v>
      </c>
      <c r="I691" t="s">
        <v>20</v>
      </c>
      <c r="J691">
        <v>175</v>
      </c>
      <c r="K691" s="8">
        <f>IFERROR(Table1[[#This Row],[pledged]]/Table1[[#This Row],[backers_count]],"NA")</f>
        <v>71.137142857142862</v>
      </c>
      <c r="L691" t="s">
        <v>21</v>
      </c>
      <c r="M691" t="s">
        <v>22</v>
      </c>
      <c r="N691">
        <v>1547100000</v>
      </c>
      <c r="O691">
        <v>1548482400</v>
      </c>
      <c r="P691" s="11">
        <f>+(((Table1[[#This Row],[launched_at]]/60)/60)/24)+DATE(1970,1,1)</f>
        <v>43475.25</v>
      </c>
      <c r="Q691" s="11">
        <f>+(((Table1[[#This Row],[deadline]]/60)/60)/24)+DATE(1970,1,1)</f>
        <v>43491.25</v>
      </c>
      <c r="R691" t="b">
        <v>0</v>
      </c>
      <c r="S691" t="b">
        <v>1</v>
      </c>
      <c r="T691" t="s">
        <v>269</v>
      </c>
      <c r="U691" t="str">
        <f>+LEFT(Table1[[#This Row],[category &amp; sub-category]],FIND("/",Table1[[#This Row],[category &amp; sub-category]])-1)</f>
        <v>film &amp; video</v>
      </c>
      <c r="V691" t="str">
        <f>+RIGHT(Table1[[#This Row],[category &amp; sub-category]],LEN(Table1[[#This Row],[category &amp; sub-category]])-SEARCH("/",Table1[[#This Row],[category &amp; sub-category]]))</f>
        <v>television</v>
      </c>
    </row>
    <row r="692" spans="2:22" ht="15.75" customHeight="1" x14ac:dyDescent="0.25">
      <c r="B692">
        <v>689</v>
      </c>
      <c r="C692" t="s">
        <v>1417</v>
      </c>
      <c r="D692" s="3" t="s">
        <v>1418</v>
      </c>
      <c r="E692" s="6">
        <v>7300</v>
      </c>
      <c r="F692" s="6">
        <v>7348</v>
      </c>
      <c r="G692" s="17">
        <f>ROUND(Table1[[#This Row],[pledged]]/Table1[[#This Row],[goal]]*100,2)</f>
        <v>100.66</v>
      </c>
      <c r="H692" s="5">
        <f>+Table1[[#This Row],[pledged]]/Table1[[#This Row],[goal]]</f>
        <v>1.0065753424657535</v>
      </c>
      <c r="I692" t="s">
        <v>20</v>
      </c>
      <c r="J692">
        <v>69</v>
      </c>
      <c r="K692" s="8">
        <f>IFERROR(Table1[[#This Row],[pledged]]/Table1[[#This Row],[backers_count]],"NA")</f>
        <v>106.49275362318841</v>
      </c>
      <c r="L692" t="s">
        <v>21</v>
      </c>
      <c r="M692" t="s">
        <v>22</v>
      </c>
      <c r="N692">
        <v>1383022800</v>
      </c>
      <c r="O692">
        <v>1384063200</v>
      </c>
      <c r="P692" s="11">
        <f>+(((Table1[[#This Row],[launched_at]]/60)/60)/24)+DATE(1970,1,1)</f>
        <v>41576.208333333336</v>
      </c>
      <c r="Q692" s="11">
        <f>+(((Table1[[#This Row],[deadline]]/60)/60)/24)+DATE(1970,1,1)</f>
        <v>41588.25</v>
      </c>
      <c r="R692" t="b">
        <v>0</v>
      </c>
      <c r="S692" t="b">
        <v>0</v>
      </c>
      <c r="T692" t="s">
        <v>28</v>
      </c>
      <c r="U692" t="str">
        <f>+LEFT(Table1[[#This Row],[category &amp; sub-category]],FIND("/",Table1[[#This Row],[category &amp; sub-category]])-1)</f>
        <v>technology</v>
      </c>
      <c r="V692" t="str">
        <f>+RIGHT(Table1[[#This Row],[category &amp; sub-category]],LEN(Table1[[#This Row],[category &amp; sub-category]])-SEARCH("/",Table1[[#This Row],[category &amp; sub-category]]))</f>
        <v>web</v>
      </c>
    </row>
    <row r="693" spans="2:22" ht="15.75" customHeight="1" x14ac:dyDescent="0.25">
      <c r="B693">
        <v>690</v>
      </c>
      <c r="C693" t="s">
        <v>1419</v>
      </c>
      <c r="D693" s="3" t="s">
        <v>1420</v>
      </c>
      <c r="E693" s="6">
        <v>3600</v>
      </c>
      <c r="F693" s="6">
        <v>8158</v>
      </c>
      <c r="G693" s="17">
        <f>ROUND(Table1[[#This Row],[pledged]]/Table1[[#This Row],[goal]]*100,2)</f>
        <v>226.61</v>
      </c>
      <c r="H693" s="5">
        <f>+Table1[[#This Row],[pledged]]/Table1[[#This Row],[goal]]</f>
        <v>2.266111111111111</v>
      </c>
      <c r="I693" t="s">
        <v>20</v>
      </c>
      <c r="J693">
        <v>190</v>
      </c>
      <c r="K693" s="8">
        <f>IFERROR(Table1[[#This Row],[pledged]]/Table1[[#This Row],[backers_count]],"NA")</f>
        <v>42.93684210526316</v>
      </c>
      <c r="L693" t="s">
        <v>21</v>
      </c>
      <c r="M693" t="s">
        <v>22</v>
      </c>
      <c r="N693">
        <v>1322373600</v>
      </c>
      <c r="O693">
        <v>1322892000</v>
      </c>
      <c r="P693" s="11">
        <f>+(((Table1[[#This Row],[launched_at]]/60)/60)/24)+DATE(1970,1,1)</f>
        <v>40874.25</v>
      </c>
      <c r="Q693" s="11">
        <f>+(((Table1[[#This Row],[deadline]]/60)/60)/24)+DATE(1970,1,1)</f>
        <v>40880.25</v>
      </c>
      <c r="R693" t="b">
        <v>0</v>
      </c>
      <c r="S693" t="b">
        <v>1</v>
      </c>
      <c r="T693" t="s">
        <v>42</v>
      </c>
      <c r="U693" t="str">
        <f>+LEFT(Table1[[#This Row],[category &amp; sub-category]],FIND("/",Table1[[#This Row],[category &amp; sub-category]])-1)</f>
        <v>film &amp; video</v>
      </c>
      <c r="V693" t="str">
        <f>+RIGHT(Table1[[#This Row],[category &amp; sub-category]],LEN(Table1[[#This Row],[category &amp; sub-category]])-SEARCH("/",Table1[[#This Row],[category &amp; sub-category]]))</f>
        <v>documentary</v>
      </c>
    </row>
    <row r="694" spans="2:22" ht="15.75" customHeight="1" x14ac:dyDescent="0.25">
      <c r="B694">
        <v>691</v>
      </c>
      <c r="C694" t="s">
        <v>1421</v>
      </c>
      <c r="D694" s="3" t="s">
        <v>1422</v>
      </c>
      <c r="E694" s="6">
        <v>5000</v>
      </c>
      <c r="F694" s="6">
        <v>7119</v>
      </c>
      <c r="G694" s="17">
        <f>ROUND(Table1[[#This Row],[pledged]]/Table1[[#This Row],[goal]]*100,2)</f>
        <v>142.38</v>
      </c>
      <c r="H694" s="5">
        <f>+Table1[[#This Row],[pledged]]/Table1[[#This Row],[goal]]</f>
        <v>1.4238</v>
      </c>
      <c r="I694" t="s">
        <v>20</v>
      </c>
      <c r="J694">
        <v>237</v>
      </c>
      <c r="K694" s="8">
        <f>IFERROR(Table1[[#This Row],[pledged]]/Table1[[#This Row],[backers_count]],"NA")</f>
        <v>30.037974683544302</v>
      </c>
      <c r="L694" t="s">
        <v>21</v>
      </c>
      <c r="M694" t="s">
        <v>22</v>
      </c>
      <c r="N694">
        <v>1349240400</v>
      </c>
      <c r="O694">
        <v>1350709200</v>
      </c>
      <c r="P694" s="11">
        <f>+(((Table1[[#This Row],[launched_at]]/60)/60)/24)+DATE(1970,1,1)</f>
        <v>41185.208333333336</v>
      </c>
      <c r="Q694" s="11">
        <f>+(((Table1[[#This Row],[deadline]]/60)/60)/24)+DATE(1970,1,1)</f>
        <v>41202.208333333336</v>
      </c>
      <c r="R694" t="b">
        <v>1</v>
      </c>
      <c r="S694" t="b">
        <v>1</v>
      </c>
      <c r="T694" t="s">
        <v>42</v>
      </c>
      <c r="U694" t="str">
        <f>+LEFT(Table1[[#This Row],[category &amp; sub-category]],FIND("/",Table1[[#This Row],[category &amp; sub-category]])-1)</f>
        <v>film &amp; video</v>
      </c>
      <c r="V694" t="str">
        <f>+RIGHT(Table1[[#This Row],[category &amp; sub-category]],LEN(Table1[[#This Row],[category &amp; sub-category]])-SEARCH("/",Table1[[#This Row],[category &amp; sub-category]]))</f>
        <v>documentary</v>
      </c>
    </row>
    <row r="695" spans="2:22" ht="15.75" customHeight="1" x14ac:dyDescent="0.25">
      <c r="B695">
        <v>692</v>
      </c>
      <c r="C695" t="s">
        <v>1423</v>
      </c>
      <c r="D695" s="3" t="s">
        <v>1424</v>
      </c>
      <c r="E695" s="6">
        <v>6000</v>
      </c>
      <c r="F695" s="6">
        <v>5438</v>
      </c>
      <c r="G695" s="17">
        <f>ROUND(Table1[[#This Row],[pledged]]/Table1[[#This Row],[goal]]*100,2)</f>
        <v>90.63</v>
      </c>
      <c r="H695" s="5">
        <f>+Table1[[#This Row],[pledged]]/Table1[[#This Row],[goal]]</f>
        <v>0.90633333333333332</v>
      </c>
      <c r="I695" t="s">
        <v>14</v>
      </c>
      <c r="J695">
        <v>77</v>
      </c>
      <c r="K695" s="8">
        <f>IFERROR(Table1[[#This Row],[pledged]]/Table1[[#This Row],[backers_count]],"NA")</f>
        <v>70.623376623376629</v>
      </c>
      <c r="L695" t="s">
        <v>40</v>
      </c>
      <c r="M695" t="s">
        <v>41</v>
      </c>
      <c r="N695">
        <v>1562648400</v>
      </c>
      <c r="O695">
        <v>1564203600</v>
      </c>
      <c r="P695" s="11">
        <f>+(((Table1[[#This Row],[launched_at]]/60)/60)/24)+DATE(1970,1,1)</f>
        <v>43655.208333333328</v>
      </c>
      <c r="Q695" s="11">
        <f>+(((Table1[[#This Row],[deadline]]/60)/60)/24)+DATE(1970,1,1)</f>
        <v>43673.208333333328</v>
      </c>
      <c r="R695" t="b">
        <v>0</v>
      </c>
      <c r="S695" t="b">
        <v>0</v>
      </c>
      <c r="T695" t="s">
        <v>23</v>
      </c>
      <c r="U695" t="str">
        <f>+LEFT(Table1[[#This Row],[category &amp; sub-category]],FIND("/",Table1[[#This Row],[category &amp; sub-category]])-1)</f>
        <v>music</v>
      </c>
      <c r="V695" t="str">
        <f>+RIGHT(Table1[[#This Row],[category &amp; sub-category]],LEN(Table1[[#This Row],[category &amp; sub-category]])-SEARCH("/",Table1[[#This Row],[category &amp; sub-category]]))</f>
        <v>rock</v>
      </c>
    </row>
    <row r="696" spans="2:22" ht="15.75" customHeight="1" x14ac:dyDescent="0.25">
      <c r="B696">
        <v>693</v>
      </c>
      <c r="C696" t="s">
        <v>1425</v>
      </c>
      <c r="D696" s="3" t="s">
        <v>1426</v>
      </c>
      <c r="E696" s="6">
        <v>180400</v>
      </c>
      <c r="F696" s="6">
        <v>115396</v>
      </c>
      <c r="G696" s="17">
        <f>ROUND(Table1[[#This Row],[pledged]]/Table1[[#This Row],[goal]]*100,2)</f>
        <v>63.97</v>
      </c>
      <c r="H696" s="5">
        <f>+Table1[[#This Row],[pledged]]/Table1[[#This Row],[goal]]</f>
        <v>0.63966740576496672</v>
      </c>
      <c r="I696" t="s">
        <v>14</v>
      </c>
      <c r="J696">
        <v>1748</v>
      </c>
      <c r="K696" s="8">
        <f>IFERROR(Table1[[#This Row],[pledged]]/Table1[[#This Row],[backers_count]],"NA")</f>
        <v>66.016018306636155</v>
      </c>
      <c r="L696" t="s">
        <v>21</v>
      </c>
      <c r="M696" t="s">
        <v>22</v>
      </c>
      <c r="N696">
        <v>1508216400</v>
      </c>
      <c r="O696">
        <v>1509685200</v>
      </c>
      <c r="P696" s="11">
        <f>+(((Table1[[#This Row],[launched_at]]/60)/60)/24)+DATE(1970,1,1)</f>
        <v>43025.208333333328</v>
      </c>
      <c r="Q696" s="11">
        <f>+(((Table1[[#This Row],[deadline]]/60)/60)/24)+DATE(1970,1,1)</f>
        <v>43042.208333333328</v>
      </c>
      <c r="R696" t="b">
        <v>0</v>
      </c>
      <c r="S696" t="b">
        <v>0</v>
      </c>
      <c r="T696" t="s">
        <v>33</v>
      </c>
      <c r="U696" t="str">
        <f>+LEFT(Table1[[#This Row],[category &amp; sub-category]],FIND("/",Table1[[#This Row],[category &amp; sub-category]])-1)</f>
        <v>theater</v>
      </c>
      <c r="V696" t="str">
        <f>+RIGHT(Table1[[#This Row],[category &amp; sub-category]],LEN(Table1[[#This Row],[category &amp; sub-category]])-SEARCH("/",Table1[[#This Row],[category &amp; sub-category]]))</f>
        <v>plays</v>
      </c>
    </row>
    <row r="697" spans="2:22" ht="15.75" customHeight="1" x14ac:dyDescent="0.25">
      <c r="B697">
        <v>694</v>
      </c>
      <c r="C697" t="s">
        <v>1427</v>
      </c>
      <c r="D697" s="3" t="s">
        <v>1428</v>
      </c>
      <c r="E697" s="6">
        <v>9100</v>
      </c>
      <c r="F697" s="6">
        <v>7656</v>
      </c>
      <c r="G697" s="17">
        <f>ROUND(Table1[[#This Row],[pledged]]/Table1[[#This Row],[goal]]*100,2)</f>
        <v>84.13</v>
      </c>
      <c r="H697" s="5">
        <f>+Table1[[#This Row],[pledged]]/Table1[[#This Row],[goal]]</f>
        <v>0.84131868131868137</v>
      </c>
      <c r="I697" t="s">
        <v>14</v>
      </c>
      <c r="J697">
        <v>79</v>
      </c>
      <c r="K697" s="8">
        <f>IFERROR(Table1[[#This Row],[pledged]]/Table1[[#This Row],[backers_count]],"NA")</f>
        <v>96.911392405063296</v>
      </c>
      <c r="L697" t="s">
        <v>21</v>
      </c>
      <c r="M697" t="s">
        <v>22</v>
      </c>
      <c r="N697">
        <v>1511762400</v>
      </c>
      <c r="O697">
        <v>1514959200</v>
      </c>
      <c r="P697" s="11">
        <f>+(((Table1[[#This Row],[launched_at]]/60)/60)/24)+DATE(1970,1,1)</f>
        <v>43066.25</v>
      </c>
      <c r="Q697" s="11">
        <f>+(((Table1[[#This Row],[deadline]]/60)/60)/24)+DATE(1970,1,1)</f>
        <v>43103.25</v>
      </c>
      <c r="R697" t="b">
        <v>0</v>
      </c>
      <c r="S697" t="b">
        <v>0</v>
      </c>
      <c r="T697" t="s">
        <v>33</v>
      </c>
      <c r="U697" t="str">
        <f>+LEFT(Table1[[#This Row],[category &amp; sub-category]],FIND("/",Table1[[#This Row],[category &amp; sub-category]])-1)</f>
        <v>theater</v>
      </c>
      <c r="V697" t="str">
        <f>+RIGHT(Table1[[#This Row],[category &amp; sub-category]],LEN(Table1[[#This Row],[category &amp; sub-category]])-SEARCH("/",Table1[[#This Row],[category &amp; sub-category]]))</f>
        <v>plays</v>
      </c>
    </row>
    <row r="698" spans="2:22" ht="15.75" customHeight="1" x14ac:dyDescent="0.25">
      <c r="B698">
        <v>695</v>
      </c>
      <c r="C698" t="s">
        <v>1429</v>
      </c>
      <c r="D698" s="3" t="s">
        <v>1430</v>
      </c>
      <c r="E698" s="6">
        <v>9200</v>
      </c>
      <c r="F698" s="6">
        <v>12322</v>
      </c>
      <c r="G698" s="17">
        <f>ROUND(Table1[[#This Row],[pledged]]/Table1[[#This Row],[goal]]*100,2)</f>
        <v>133.93</v>
      </c>
      <c r="H698" s="5">
        <f>+Table1[[#This Row],[pledged]]/Table1[[#This Row],[goal]]</f>
        <v>1.3393478260869565</v>
      </c>
      <c r="I698" t="s">
        <v>20</v>
      </c>
      <c r="J698">
        <v>196</v>
      </c>
      <c r="K698" s="8">
        <f>IFERROR(Table1[[#This Row],[pledged]]/Table1[[#This Row],[backers_count]],"NA")</f>
        <v>62.867346938775512</v>
      </c>
      <c r="L698" t="s">
        <v>107</v>
      </c>
      <c r="M698" t="s">
        <v>108</v>
      </c>
      <c r="N698">
        <v>1447480800</v>
      </c>
      <c r="O698">
        <v>1448863200</v>
      </c>
      <c r="P698" s="11">
        <f>+(((Table1[[#This Row],[launched_at]]/60)/60)/24)+DATE(1970,1,1)</f>
        <v>42322.25</v>
      </c>
      <c r="Q698" s="11">
        <f>+(((Table1[[#This Row],[deadline]]/60)/60)/24)+DATE(1970,1,1)</f>
        <v>42338.25</v>
      </c>
      <c r="R698" t="b">
        <v>1</v>
      </c>
      <c r="S698" t="b">
        <v>0</v>
      </c>
      <c r="T698" t="s">
        <v>23</v>
      </c>
      <c r="U698" t="str">
        <f>+LEFT(Table1[[#This Row],[category &amp; sub-category]],FIND("/",Table1[[#This Row],[category &amp; sub-category]])-1)</f>
        <v>music</v>
      </c>
      <c r="V698" t="str">
        <f>+RIGHT(Table1[[#This Row],[category &amp; sub-category]],LEN(Table1[[#This Row],[category &amp; sub-category]])-SEARCH("/",Table1[[#This Row],[category &amp; sub-category]]))</f>
        <v>rock</v>
      </c>
    </row>
    <row r="699" spans="2:22" ht="15.75" customHeight="1" x14ac:dyDescent="0.25">
      <c r="B699">
        <v>696</v>
      </c>
      <c r="C699" t="s">
        <v>1431</v>
      </c>
      <c r="D699" s="3" t="s">
        <v>1432</v>
      </c>
      <c r="E699" s="6">
        <v>164100</v>
      </c>
      <c r="F699" s="6">
        <v>96888</v>
      </c>
      <c r="G699" s="17">
        <f>ROUND(Table1[[#This Row],[pledged]]/Table1[[#This Row],[goal]]*100,2)</f>
        <v>59.04</v>
      </c>
      <c r="H699" s="5">
        <f>+Table1[[#This Row],[pledged]]/Table1[[#This Row],[goal]]</f>
        <v>0.59042047531992692</v>
      </c>
      <c r="I699" t="s">
        <v>14</v>
      </c>
      <c r="J699">
        <v>889</v>
      </c>
      <c r="K699" s="8">
        <f>IFERROR(Table1[[#This Row],[pledged]]/Table1[[#This Row],[backers_count]],"NA")</f>
        <v>108.98537682789652</v>
      </c>
      <c r="L699" t="s">
        <v>21</v>
      </c>
      <c r="M699" t="s">
        <v>22</v>
      </c>
      <c r="N699">
        <v>1429506000</v>
      </c>
      <c r="O699">
        <v>1429592400</v>
      </c>
      <c r="P699" s="11">
        <f>+(((Table1[[#This Row],[launched_at]]/60)/60)/24)+DATE(1970,1,1)</f>
        <v>42114.208333333328</v>
      </c>
      <c r="Q699" s="11">
        <f>+(((Table1[[#This Row],[deadline]]/60)/60)/24)+DATE(1970,1,1)</f>
        <v>42115.208333333328</v>
      </c>
      <c r="R699" t="b">
        <v>0</v>
      </c>
      <c r="S699" t="b">
        <v>1</v>
      </c>
      <c r="T699" t="s">
        <v>33</v>
      </c>
      <c r="U699" t="str">
        <f>+LEFT(Table1[[#This Row],[category &amp; sub-category]],FIND("/",Table1[[#This Row],[category &amp; sub-category]])-1)</f>
        <v>theater</v>
      </c>
      <c r="V699" t="str">
        <f>+RIGHT(Table1[[#This Row],[category &amp; sub-category]],LEN(Table1[[#This Row],[category &amp; sub-category]])-SEARCH("/",Table1[[#This Row],[category &amp; sub-category]]))</f>
        <v>plays</v>
      </c>
    </row>
    <row r="700" spans="2:22" ht="15.75" customHeight="1" x14ac:dyDescent="0.25">
      <c r="B700">
        <v>697</v>
      </c>
      <c r="C700" t="s">
        <v>1433</v>
      </c>
      <c r="D700" s="3" t="s">
        <v>1434</v>
      </c>
      <c r="E700" s="6">
        <v>128900</v>
      </c>
      <c r="F700" s="6">
        <v>196960</v>
      </c>
      <c r="G700" s="17">
        <f>ROUND(Table1[[#This Row],[pledged]]/Table1[[#This Row],[goal]]*100,2)</f>
        <v>152.80000000000001</v>
      </c>
      <c r="H700" s="5">
        <f>+Table1[[#This Row],[pledged]]/Table1[[#This Row],[goal]]</f>
        <v>1.5280062063615205</v>
      </c>
      <c r="I700" t="s">
        <v>20</v>
      </c>
      <c r="J700">
        <v>7295</v>
      </c>
      <c r="K700" s="8">
        <f>IFERROR(Table1[[#This Row],[pledged]]/Table1[[#This Row],[backers_count]],"NA")</f>
        <v>26.999314599040439</v>
      </c>
      <c r="L700" t="s">
        <v>21</v>
      </c>
      <c r="M700" t="s">
        <v>22</v>
      </c>
      <c r="N700">
        <v>1522472400</v>
      </c>
      <c r="O700">
        <v>1522645200</v>
      </c>
      <c r="P700" s="11">
        <f>+(((Table1[[#This Row],[launched_at]]/60)/60)/24)+DATE(1970,1,1)</f>
        <v>43190.208333333328</v>
      </c>
      <c r="Q700" s="11">
        <f>+(((Table1[[#This Row],[deadline]]/60)/60)/24)+DATE(1970,1,1)</f>
        <v>43192.208333333328</v>
      </c>
      <c r="R700" t="b">
        <v>0</v>
      </c>
      <c r="S700" t="b">
        <v>0</v>
      </c>
      <c r="T700" t="s">
        <v>50</v>
      </c>
      <c r="U700" t="str">
        <f>+LEFT(Table1[[#This Row],[category &amp; sub-category]],FIND("/",Table1[[#This Row],[category &amp; sub-category]])-1)</f>
        <v>music</v>
      </c>
      <c r="V700" t="str">
        <f>+RIGHT(Table1[[#This Row],[category &amp; sub-category]],LEN(Table1[[#This Row],[category &amp; sub-category]])-SEARCH("/",Table1[[#This Row],[category &amp; sub-category]]))</f>
        <v>electric music</v>
      </c>
    </row>
    <row r="701" spans="2:22" ht="15.75" customHeight="1" x14ac:dyDescent="0.25">
      <c r="B701">
        <v>698</v>
      </c>
      <c r="C701" t="s">
        <v>1435</v>
      </c>
      <c r="D701" s="3" t="s">
        <v>1436</v>
      </c>
      <c r="E701" s="6">
        <v>42100</v>
      </c>
      <c r="F701" s="6">
        <v>188057</v>
      </c>
      <c r="G701" s="17">
        <f>ROUND(Table1[[#This Row],[pledged]]/Table1[[#This Row],[goal]]*100,2)</f>
        <v>446.69</v>
      </c>
      <c r="H701" s="5">
        <f>+Table1[[#This Row],[pledged]]/Table1[[#This Row],[goal]]</f>
        <v>4.466912114014252</v>
      </c>
      <c r="I701" t="s">
        <v>20</v>
      </c>
      <c r="J701">
        <v>2893</v>
      </c>
      <c r="K701" s="8">
        <f>IFERROR(Table1[[#This Row],[pledged]]/Table1[[#This Row],[backers_count]],"NA")</f>
        <v>65.004147943311438</v>
      </c>
      <c r="L701" t="s">
        <v>15</v>
      </c>
      <c r="M701" t="s">
        <v>16</v>
      </c>
      <c r="N701">
        <v>1322114400</v>
      </c>
      <c r="O701">
        <v>1323324000</v>
      </c>
      <c r="P701" s="11">
        <f>+(((Table1[[#This Row],[launched_at]]/60)/60)/24)+DATE(1970,1,1)</f>
        <v>40871.25</v>
      </c>
      <c r="Q701" s="11">
        <f>+(((Table1[[#This Row],[deadline]]/60)/60)/24)+DATE(1970,1,1)</f>
        <v>40885.25</v>
      </c>
      <c r="R701" t="b">
        <v>0</v>
      </c>
      <c r="S701" t="b">
        <v>0</v>
      </c>
      <c r="T701" t="s">
        <v>65</v>
      </c>
      <c r="U701" t="str">
        <f>+LEFT(Table1[[#This Row],[category &amp; sub-category]],FIND("/",Table1[[#This Row],[category &amp; sub-category]])-1)</f>
        <v>technology</v>
      </c>
      <c r="V701" t="str">
        <f>+RIGHT(Table1[[#This Row],[category &amp; sub-category]],LEN(Table1[[#This Row],[category &amp; sub-category]])-SEARCH("/",Table1[[#This Row],[category &amp; sub-category]]))</f>
        <v>wearables</v>
      </c>
    </row>
    <row r="702" spans="2:22" ht="15.75" customHeight="1" x14ac:dyDescent="0.25">
      <c r="B702">
        <v>699</v>
      </c>
      <c r="C702" t="s">
        <v>444</v>
      </c>
      <c r="D702" s="3" t="s">
        <v>1437</v>
      </c>
      <c r="E702" s="6">
        <v>7400</v>
      </c>
      <c r="F702" s="6">
        <v>6245</v>
      </c>
      <c r="G702" s="17">
        <f>ROUND(Table1[[#This Row],[pledged]]/Table1[[#This Row],[goal]]*100,2)</f>
        <v>84.39</v>
      </c>
      <c r="H702" s="5">
        <f>+Table1[[#This Row],[pledged]]/Table1[[#This Row],[goal]]</f>
        <v>0.8439189189189189</v>
      </c>
      <c r="I702" t="s">
        <v>14</v>
      </c>
      <c r="J702">
        <v>56</v>
      </c>
      <c r="K702" s="8">
        <f>IFERROR(Table1[[#This Row],[pledged]]/Table1[[#This Row],[backers_count]],"NA")</f>
        <v>111.51785714285714</v>
      </c>
      <c r="L702" t="s">
        <v>21</v>
      </c>
      <c r="M702" t="s">
        <v>22</v>
      </c>
      <c r="N702">
        <v>1561438800</v>
      </c>
      <c r="O702">
        <v>1561525200</v>
      </c>
      <c r="P702" s="11">
        <f>+(((Table1[[#This Row],[launched_at]]/60)/60)/24)+DATE(1970,1,1)</f>
        <v>43641.208333333328</v>
      </c>
      <c r="Q702" s="11">
        <f>+(((Table1[[#This Row],[deadline]]/60)/60)/24)+DATE(1970,1,1)</f>
        <v>43642.208333333328</v>
      </c>
      <c r="R702" t="b">
        <v>0</v>
      </c>
      <c r="S702" t="b">
        <v>0</v>
      </c>
      <c r="T702" t="s">
        <v>53</v>
      </c>
      <c r="U702" t="str">
        <f>+LEFT(Table1[[#This Row],[category &amp; sub-category]],FIND("/",Table1[[#This Row],[category &amp; sub-category]])-1)</f>
        <v>film &amp; video</v>
      </c>
      <c r="V702" t="str">
        <f>+RIGHT(Table1[[#This Row],[category &amp; sub-category]],LEN(Table1[[#This Row],[category &amp; sub-category]])-SEARCH("/",Table1[[#This Row],[category &amp; sub-category]]))</f>
        <v>drama</v>
      </c>
    </row>
    <row r="703" spans="2:22" ht="15.75" customHeight="1" x14ac:dyDescent="0.25">
      <c r="B703">
        <v>700</v>
      </c>
      <c r="C703" t="s">
        <v>1438</v>
      </c>
      <c r="D703" s="3" t="s">
        <v>1439</v>
      </c>
      <c r="E703" s="6">
        <v>100</v>
      </c>
      <c r="F703" s="6">
        <v>3</v>
      </c>
      <c r="G703" s="17">
        <f>ROUND(Table1[[#This Row],[pledged]]/Table1[[#This Row],[goal]]*100,2)</f>
        <v>3</v>
      </c>
      <c r="H703" s="5">
        <f>+Table1[[#This Row],[pledged]]/Table1[[#This Row],[goal]]</f>
        <v>0.03</v>
      </c>
      <c r="I703" t="s">
        <v>14</v>
      </c>
      <c r="J703">
        <v>1</v>
      </c>
      <c r="K703" s="8">
        <f>IFERROR(Table1[[#This Row],[pledged]]/Table1[[#This Row],[backers_count]],"NA")</f>
        <v>3</v>
      </c>
      <c r="L703" t="s">
        <v>21</v>
      </c>
      <c r="M703" t="s">
        <v>22</v>
      </c>
      <c r="N703">
        <v>1264399200</v>
      </c>
      <c r="O703">
        <v>1265695200</v>
      </c>
      <c r="P703" s="11">
        <f>+(((Table1[[#This Row],[launched_at]]/60)/60)/24)+DATE(1970,1,1)</f>
        <v>40203.25</v>
      </c>
      <c r="Q703" s="11">
        <f>+(((Table1[[#This Row],[deadline]]/60)/60)/24)+DATE(1970,1,1)</f>
        <v>40218.25</v>
      </c>
      <c r="R703" t="b">
        <v>0</v>
      </c>
      <c r="S703" t="b">
        <v>0</v>
      </c>
      <c r="T703" t="s">
        <v>65</v>
      </c>
      <c r="U703" t="str">
        <f>+LEFT(Table1[[#This Row],[category &amp; sub-category]],FIND("/",Table1[[#This Row],[category &amp; sub-category]])-1)</f>
        <v>technology</v>
      </c>
      <c r="V703" t="str">
        <f>+RIGHT(Table1[[#This Row],[category &amp; sub-category]],LEN(Table1[[#This Row],[category &amp; sub-category]])-SEARCH("/",Table1[[#This Row],[category &amp; sub-category]]))</f>
        <v>wearables</v>
      </c>
    </row>
    <row r="704" spans="2:22" ht="15.75" customHeight="1" x14ac:dyDescent="0.25">
      <c r="B704">
        <v>701</v>
      </c>
      <c r="C704" t="s">
        <v>1440</v>
      </c>
      <c r="D704" s="3" t="s">
        <v>1441</v>
      </c>
      <c r="E704" s="6">
        <v>52000</v>
      </c>
      <c r="F704" s="6">
        <v>91014</v>
      </c>
      <c r="G704" s="17">
        <f>ROUND(Table1[[#This Row],[pledged]]/Table1[[#This Row],[goal]]*100,2)</f>
        <v>175.03</v>
      </c>
      <c r="H704" s="5">
        <f>+Table1[[#This Row],[pledged]]/Table1[[#This Row],[goal]]</f>
        <v>1.7502692307692307</v>
      </c>
      <c r="I704" t="s">
        <v>20</v>
      </c>
      <c r="J704">
        <v>820</v>
      </c>
      <c r="K704" s="8">
        <f>IFERROR(Table1[[#This Row],[pledged]]/Table1[[#This Row],[backers_count]],"NA")</f>
        <v>110.99268292682927</v>
      </c>
      <c r="L704" t="s">
        <v>21</v>
      </c>
      <c r="M704" t="s">
        <v>22</v>
      </c>
      <c r="N704">
        <v>1301202000</v>
      </c>
      <c r="O704">
        <v>1301806800</v>
      </c>
      <c r="P704" s="11">
        <f>+(((Table1[[#This Row],[launched_at]]/60)/60)/24)+DATE(1970,1,1)</f>
        <v>40629.208333333336</v>
      </c>
      <c r="Q704" s="11">
        <f>+(((Table1[[#This Row],[deadline]]/60)/60)/24)+DATE(1970,1,1)</f>
        <v>40636.208333333336</v>
      </c>
      <c r="R704" t="b">
        <v>1</v>
      </c>
      <c r="S704" t="b">
        <v>0</v>
      </c>
      <c r="T704" t="s">
        <v>33</v>
      </c>
      <c r="U704" t="str">
        <f>+LEFT(Table1[[#This Row],[category &amp; sub-category]],FIND("/",Table1[[#This Row],[category &amp; sub-category]])-1)</f>
        <v>theater</v>
      </c>
      <c r="V704" t="str">
        <f>+RIGHT(Table1[[#This Row],[category &amp; sub-category]],LEN(Table1[[#This Row],[category &amp; sub-category]])-SEARCH("/",Table1[[#This Row],[category &amp; sub-category]]))</f>
        <v>plays</v>
      </c>
    </row>
    <row r="705" spans="2:22" ht="15.75" customHeight="1" x14ac:dyDescent="0.25">
      <c r="B705">
        <v>702</v>
      </c>
      <c r="C705" t="s">
        <v>1442</v>
      </c>
      <c r="D705" s="3" t="s">
        <v>1443</v>
      </c>
      <c r="E705" s="6">
        <v>8700</v>
      </c>
      <c r="F705" s="6">
        <v>4710</v>
      </c>
      <c r="G705" s="17">
        <f>ROUND(Table1[[#This Row],[pledged]]/Table1[[#This Row],[goal]]*100,2)</f>
        <v>54.14</v>
      </c>
      <c r="H705" s="5">
        <f>+Table1[[#This Row],[pledged]]/Table1[[#This Row],[goal]]</f>
        <v>0.54137931034482756</v>
      </c>
      <c r="I705" t="s">
        <v>14</v>
      </c>
      <c r="J705">
        <v>83</v>
      </c>
      <c r="K705" s="8">
        <f>IFERROR(Table1[[#This Row],[pledged]]/Table1[[#This Row],[backers_count]],"NA")</f>
        <v>56.746987951807228</v>
      </c>
      <c r="L705" t="s">
        <v>21</v>
      </c>
      <c r="M705" t="s">
        <v>22</v>
      </c>
      <c r="N705">
        <v>1374469200</v>
      </c>
      <c r="O705">
        <v>1374901200</v>
      </c>
      <c r="P705" s="11">
        <f>+(((Table1[[#This Row],[launched_at]]/60)/60)/24)+DATE(1970,1,1)</f>
        <v>41477.208333333336</v>
      </c>
      <c r="Q705" s="11">
        <f>+(((Table1[[#This Row],[deadline]]/60)/60)/24)+DATE(1970,1,1)</f>
        <v>41482.208333333336</v>
      </c>
      <c r="R705" t="b">
        <v>0</v>
      </c>
      <c r="S705" t="b">
        <v>0</v>
      </c>
      <c r="T705" t="s">
        <v>65</v>
      </c>
      <c r="U705" t="str">
        <f>+LEFT(Table1[[#This Row],[category &amp; sub-category]],FIND("/",Table1[[#This Row],[category &amp; sub-category]])-1)</f>
        <v>technology</v>
      </c>
      <c r="V705" t="str">
        <f>+RIGHT(Table1[[#This Row],[category &amp; sub-category]],LEN(Table1[[#This Row],[category &amp; sub-category]])-SEARCH("/",Table1[[#This Row],[category &amp; sub-category]]))</f>
        <v>wearables</v>
      </c>
    </row>
    <row r="706" spans="2:22" ht="15.75" customHeight="1" x14ac:dyDescent="0.25">
      <c r="B706">
        <v>703</v>
      </c>
      <c r="C706" t="s">
        <v>1444</v>
      </c>
      <c r="D706" s="3" t="s">
        <v>1445</v>
      </c>
      <c r="E706" s="6">
        <v>63400</v>
      </c>
      <c r="F706" s="6">
        <v>197728</v>
      </c>
      <c r="G706" s="17">
        <f>ROUND(Table1[[#This Row],[pledged]]/Table1[[#This Row],[goal]]*100,2)</f>
        <v>311.87</v>
      </c>
      <c r="H706" s="5">
        <f>+Table1[[#This Row],[pledged]]/Table1[[#This Row],[goal]]</f>
        <v>3.1187381703470032</v>
      </c>
      <c r="I706" t="s">
        <v>20</v>
      </c>
      <c r="J706">
        <v>2038</v>
      </c>
      <c r="K706" s="8">
        <f>IFERROR(Table1[[#This Row],[pledged]]/Table1[[#This Row],[backers_count]],"NA")</f>
        <v>97.020608439646708</v>
      </c>
      <c r="L706" t="s">
        <v>21</v>
      </c>
      <c r="M706" t="s">
        <v>22</v>
      </c>
      <c r="N706">
        <v>1334984400</v>
      </c>
      <c r="O706">
        <v>1336453200</v>
      </c>
      <c r="P706" s="11">
        <f>+(((Table1[[#This Row],[launched_at]]/60)/60)/24)+DATE(1970,1,1)</f>
        <v>41020.208333333336</v>
      </c>
      <c r="Q706" s="11">
        <f>+(((Table1[[#This Row],[deadline]]/60)/60)/24)+DATE(1970,1,1)</f>
        <v>41037.208333333336</v>
      </c>
      <c r="R706" t="b">
        <v>1</v>
      </c>
      <c r="S706" t="b">
        <v>1</v>
      </c>
      <c r="T706" t="s">
        <v>206</v>
      </c>
      <c r="U706" t="str">
        <f>+LEFT(Table1[[#This Row],[category &amp; sub-category]],FIND("/",Table1[[#This Row],[category &amp; sub-category]])-1)</f>
        <v>publishing</v>
      </c>
      <c r="V706" t="str">
        <f>+RIGHT(Table1[[#This Row],[category &amp; sub-category]],LEN(Table1[[#This Row],[category &amp; sub-category]])-SEARCH("/",Table1[[#This Row],[category &amp; sub-category]]))</f>
        <v>translations</v>
      </c>
    </row>
    <row r="707" spans="2:22" ht="15.75" customHeight="1" x14ac:dyDescent="0.25">
      <c r="B707">
        <v>704</v>
      </c>
      <c r="C707" t="s">
        <v>1446</v>
      </c>
      <c r="D707" s="3" t="s">
        <v>1447</v>
      </c>
      <c r="E707" s="6">
        <v>8700</v>
      </c>
      <c r="F707" s="6">
        <v>10682</v>
      </c>
      <c r="G707" s="17">
        <f>ROUND(Table1[[#This Row],[pledged]]/Table1[[#This Row],[goal]]*100,2)</f>
        <v>122.78</v>
      </c>
      <c r="H707" s="5">
        <f>+Table1[[#This Row],[pledged]]/Table1[[#This Row],[goal]]</f>
        <v>1.2278160919540231</v>
      </c>
      <c r="I707" t="s">
        <v>20</v>
      </c>
      <c r="J707">
        <v>116</v>
      </c>
      <c r="K707" s="8">
        <f>IFERROR(Table1[[#This Row],[pledged]]/Table1[[#This Row],[backers_count]],"NA")</f>
        <v>92.08620689655173</v>
      </c>
      <c r="L707" t="s">
        <v>21</v>
      </c>
      <c r="M707" t="s">
        <v>22</v>
      </c>
      <c r="N707">
        <v>1467608400</v>
      </c>
      <c r="O707">
        <v>1468904400</v>
      </c>
      <c r="P707" s="11">
        <f>+(((Table1[[#This Row],[launched_at]]/60)/60)/24)+DATE(1970,1,1)</f>
        <v>42555.208333333328</v>
      </c>
      <c r="Q707" s="11">
        <f>+(((Table1[[#This Row],[deadline]]/60)/60)/24)+DATE(1970,1,1)</f>
        <v>42570.208333333328</v>
      </c>
      <c r="R707" t="b">
        <v>0</v>
      </c>
      <c r="S707" t="b">
        <v>0</v>
      </c>
      <c r="T707" t="s">
        <v>71</v>
      </c>
      <c r="U707" t="str">
        <f>+LEFT(Table1[[#This Row],[category &amp; sub-category]],FIND("/",Table1[[#This Row],[category &amp; sub-category]])-1)</f>
        <v>film &amp; video</v>
      </c>
      <c r="V707" t="str">
        <f>+RIGHT(Table1[[#This Row],[category &amp; sub-category]],LEN(Table1[[#This Row],[category &amp; sub-category]])-SEARCH("/",Table1[[#This Row],[category &amp; sub-category]]))</f>
        <v>animation</v>
      </c>
    </row>
    <row r="708" spans="2:22" ht="15.75" customHeight="1" x14ac:dyDescent="0.25">
      <c r="B708">
        <v>705</v>
      </c>
      <c r="C708" t="s">
        <v>1448</v>
      </c>
      <c r="D708" s="3" t="s">
        <v>1449</v>
      </c>
      <c r="E708" s="6">
        <v>169700</v>
      </c>
      <c r="F708" s="6">
        <v>168048</v>
      </c>
      <c r="G708" s="17">
        <f>ROUND(Table1[[#This Row],[pledged]]/Table1[[#This Row],[goal]]*100,2)</f>
        <v>99.03</v>
      </c>
      <c r="H708" s="5">
        <f>+Table1[[#This Row],[pledged]]/Table1[[#This Row],[goal]]</f>
        <v>0.99026517383618151</v>
      </c>
      <c r="I708" t="s">
        <v>14</v>
      </c>
      <c r="J708">
        <v>2025</v>
      </c>
      <c r="K708" s="8">
        <f>IFERROR(Table1[[#This Row],[pledged]]/Table1[[#This Row],[backers_count]],"NA")</f>
        <v>82.986666666666665</v>
      </c>
      <c r="L708" t="s">
        <v>40</v>
      </c>
      <c r="M708" t="s">
        <v>41</v>
      </c>
      <c r="N708">
        <v>1386741600</v>
      </c>
      <c r="O708">
        <v>1387087200</v>
      </c>
      <c r="P708" s="11">
        <f>+(((Table1[[#This Row],[launched_at]]/60)/60)/24)+DATE(1970,1,1)</f>
        <v>41619.25</v>
      </c>
      <c r="Q708" s="11">
        <f>+(((Table1[[#This Row],[deadline]]/60)/60)/24)+DATE(1970,1,1)</f>
        <v>41623.25</v>
      </c>
      <c r="R708" t="b">
        <v>0</v>
      </c>
      <c r="S708" t="b">
        <v>0</v>
      </c>
      <c r="T708" t="s">
        <v>68</v>
      </c>
      <c r="U708" t="str">
        <f>+LEFT(Table1[[#This Row],[category &amp; sub-category]],FIND("/",Table1[[#This Row],[category &amp; sub-category]])-1)</f>
        <v>publishing</v>
      </c>
      <c r="V708" t="str">
        <f>+RIGHT(Table1[[#This Row],[category &amp; sub-category]],LEN(Table1[[#This Row],[category &amp; sub-category]])-SEARCH("/",Table1[[#This Row],[category &amp; sub-category]]))</f>
        <v>nonfiction</v>
      </c>
    </row>
    <row r="709" spans="2:22" ht="15.75" customHeight="1" x14ac:dyDescent="0.25">
      <c r="B709">
        <v>706</v>
      </c>
      <c r="C709" t="s">
        <v>1450</v>
      </c>
      <c r="D709" s="3" t="s">
        <v>1451</v>
      </c>
      <c r="E709" s="6">
        <v>108400</v>
      </c>
      <c r="F709" s="6">
        <v>138586</v>
      </c>
      <c r="G709" s="17">
        <f>ROUND(Table1[[#This Row],[pledged]]/Table1[[#This Row],[goal]]*100,2)</f>
        <v>127.85</v>
      </c>
      <c r="H709" s="5">
        <f>+Table1[[#This Row],[pledged]]/Table1[[#This Row],[goal]]</f>
        <v>1.278468634686347</v>
      </c>
      <c r="I709" t="s">
        <v>20</v>
      </c>
      <c r="J709">
        <v>1345</v>
      </c>
      <c r="K709" s="8">
        <f>IFERROR(Table1[[#This Row],[pledged]]/Table1[[#This Row],[backers_count]],"NA")</f>
        <v>103.03791821561339</v>
      </c>
      <c r="L709" t="s">
        <v>26</v>
      </c>
      <c r="M709" t="s">
        <v>27</v>
      </c>
      <c r="N709">
        <v>1546754400</v>
      </c>
      <c r="O709">
        <v>1547445600</v>
      </c>
      <c r="P709" s="11">
        <f>+(((Table1[[#This Row],[launched_at]]/60)/60)/24)+DATE(1970,1,1)</f>
        <v>43471.25</v>
      </c>
      <c r="Q709" s="11">
        <f>+(((Table1[[#This Row],[deadline]]/60)/60)/24)+DATE(1970,1,1)</f>
        <v>43479.25</v>
      </c>
      <c r="R709" t="b">
        <v>0</v>
      </c>
      <c r="S709" t="b">
        <v>1</v>
      </c>
      <c r="T709" t="s">
        <v>28</v>
      </c>
      <c r="U709" t="str">
        <f>+LEFT(Table1[[#This Row],[category &amp; sub-category]],FIND("/",Table1[[#This Row],[category &amp; sub-category]])-1)</f>
        <v>technology</v>
      </c>
      <c r="V709" t="str">
        <f>+RIGHT(Table1[[#This Row],[category &amp; sub-category]],LEN(Table1[[#This Row],[category &amp; sub-category]])-SEARCH("/",Table1[[#This Row],[category &amp; sub-category]]))</f>
        <v>web</v>
      </c>
    </row>
    <row r="710" spans="2:22" ht="15.75" customHeight="1" x14ac:dyDescent="0.25">
      <c r="B710">
        <v>707</v>
      </c>
      <c r="C710" t="s">
        <v>1452</v>
      </c>
      <c r="D710" s="3" t="s">
        <v>1453</v>
      </c>
      <c r="E710" s="6">
        <v>7300</v>
      </c>
      <c r="F710" s="6">
        <v>11579</v>
      </c>
      <c r="G710" s="17">
        <f>ROUND(Table1[[#This Row],[pledged]]/Table1[[#This Row],[goal]]*100,2)</f>
        <v>158.62</v>
      </c>
      <c r="H710" s="5">
        <f>+Table1[[#This Row],[pledged]]/Table1[[#This Row],[goal]]</f>
        <v>1.5861643835616439</v>
      </c>
      <c r="I710" t="s">
        <v>20</v>
      </c>
      <c r="J710">
        <v>168</v>
      </c>
      <c r="K710" s="8">
        <f>IFERROR(Table1[[#This Row],[pledged]]/Table1[[#This Row],[backers_count]],"NA")</f>
        <v>68.922619047619051</v>
      </c>
      <c r="L710" t="s">
        <v>21</v>
      </c>
      <c r="M710" t="s">
        <v>22</v>
      </c>
      <c r="N710">
        <v>1544248800</v>
      </c>
      <c r="O710">
        <v>1547359200</v>
      </c>
      <c r="P710" s="11">
        <f>+(((Table1[[#This Row],[launched_at]]/60)/60)/24)+DATE(1970,1,1)</f>
        <v>43442.25</v>
      </c>
      <c r="Q710" s="11">
        <f>+(((Table1[[#This Row],[deadline]]/60)/60)/24)+DATE(1970,1,1)</f>
        <v>43478.25</v>
      </c>
      <c r="R710" t="b">
        <v>0</v>
      </c>
      <c r="S710" t="b">
        <v>0</v>
      </c>
      <c r="T710" t="s">
        <v>53</v>
      </c>
      <c r="U710" t="str">
        <f>+LEFT(Table1[[#This Row],[category &amp; sub-category]],FIND("/",Table1[[#This Row],[category &amp; sub-category]])-1)</f>
        <v>film &amp; video</v>
      </c>
      <c r="V710" t="str">
        <f>+RIGHT(Table1[[#This Row],[category &amp; sub-category]],LEN(Table1[[#This Row],[category &amp; sub-category]])-SEARCH("/",Table1[[#This Row],[category &amp; sub-category]]))</f>
        <v>drama</v>
      </c>
    </row>
    <row r="711" spans="2:22" ht="15.75" customHeight="1" x14ac:dyDescent="0.25">
      <c r="B711">
        <v>708</v>
      </c>
      <c r="C711" t="s">
        <v>1454</v>
      </c>
      <c r="D711" s="3" t="s">
        <v>1455</v>
      </c>
      <c r="E711" s="6">
        <v>1700</v>
      </c>
      <c r="F711" s="6">
        <v>12020</v>
      </c>
      <c r="G711" s="17">
        <f>ROUND(Table1[[#This Row],[pledged]]/Table1[[#This Row],[goal]]*100,2)</f>
        <v>707.06</v>
      </c>
      <c r="H711" s="5">
        <f>+Table1[[#This Row],[pledged]]/Table1[[#This Row],[goal]]</f>
        <v>7.0705882352941174</v>
      </c>
      <c r="I711" t="s">
        <v>20</v>
      </c>
      <c r="J711">
        <v>137</v>
      </c>
      <c r="K711" s="8">
        <f>IFERROR(Table1[[#This Row],[pledged]]/Table1[[#This Row],[backers_count]],"NA")</f>
        <v>87.737226277372258</v>
      </c>
      <c r="L711" t="s">
        <v>98</v>
      </c>
      <c r="M711" t="s">
        <v>99</v>
      </c>
      <c r="N711">
        <v>1495429200</v>
      </c>
      <c r="O711">
        <v>1496293200</v>
      </c>
      <c r="P711" s="11">
        <f>+(((Table1[[#This Row],[launched_at]]/60)/60)/24)+DATE(1970,1,1)</f>
        <v>42877.208333333328</v>
      </c>
      <c r="Q711" s="11">
        <f>+(((Table1[[#This Row],[deadline]]/60)/60)/24)+DATE(1970,1,1)</f>
        <v>42887.208333333328</v>
      </c>
      <c r="R711" t="b">
        <v>0</v>
      </c>
      <c r="S711" t="b">
        <v>0</v>
      </c>
      <c r="T711" t="s">
        <v>33</v>
      </c>
      <c r="U711" t="str">
        <f>+LEFT(Table1[[#This Row],[category &amp; sub-category]],FIND("/",Table1[[#This Row],[category &amp; sub-category]])-1)</f>
        <v>theater</v>
      </c>
      <c r="V711" t="str">
        <f>+RIGHT(Table1[[#This Row],[category &amp; sub-category]],LEN(Table1[[#This Row],[category &amp; sub-category]])-SEARCH("/",Table1[[#This Row],[category &amp; sub-category]]))</f>
        <v>plays</v>
      </c>
    </row>
    <row r="712" spans="2:22" ht="15.75" customHeight="1" x14ac:dyDescent="0.25">
      <c r="B712">
        <v>709</v>
      </c>
      <c r="C712" t="s">
        <v>1456</v>
      </c>
      <c r="D712" s="3" t="s">
        <v>1457</v>
      </c>
      <c r="E712" s="6">
        <v>9800</v>
      </c>
      <c r="F712" s="6">
        <v>13954</v>
      </c>
      <c r="G712" s="17">
        <f>ROUND(Table1[[#This Row],[pledged]]/Table1[[#This Row],[goal]]*100,2)</f>
        <v>142.38999999999999</v>
      </c>
      <c r="H712" s="5">
        <f>+Table1[[#This Row],[pledged]]/Table1[[#This Row],[goal]]</f>
        <v>1.4238775510204082</v>
      </c>
      <c r="I712" t="s">
        <v>20</v>
      </c>
      <c r="J712">
        <v>186</v>
      </c>
      <c r="K712" s="8">
        <f>IFERROR(Table1[[#This Row],[pledged]]/Table1[[#This Row],[backers_count]],"NA")</f>
        <v>75.021505376344081</v>
      </c>
      <c r="L712" t="s">
        <v>107</v>
      </c>
      <c r="M712" t="s">
        <v>108</v>
      </c>
      <c r="N712">
        <v>1334811600</v>
      </c>
      <c r="O712">
        <v>1335416400</v>
      </c>
      <c r="P712" s="11">
        <f>+(((Table1[[#This Row],[launched_at]]/60)/60)/24)+DATE(1970,1,1)</f>
        <v>41018.208333333336</v>
      </c>
      <c r="Q712" s="11">
        <f>+(((Table1[[#This Row],[deadline]]/60)/60)/24)+DATE(1970,1,1)</f>
        <v>41025.208333333336</v>
      </c>
      <c r="R712" t="b">
        <v>0</v>
      </c>
      <c r="S712" t="b">
        <v>0</v>
      </c>
      <c r="T712" t="s">
        <v>33</v>
      </c>
      <c r="U712" t="str">
        <f>+LEFT(Table1[[#This Row],[category &amp; sub-category]],FIND("/",Table1[[#This Row],[category &amp; sub-category]])-1)</f>
        <v>theater</v>
      </c>
      <c r="V712" t="str">
        <f>+RIGHT(Table1[[#This Row],[category &amp; sub-category]],LEN(Table1[[#This Row],[category &amp; sub-category]])-SEARCH("/",Table1[[#This Row],[category &amp; sub-category]]))</f>
        <v>plays</v>
      </c>
    </row>
    <row r="713" spans="2:22" ht="15.75" customHeight="1" x14ac:dyDescent="0.25">
      <c r="B713">
        <v>710</v>
      </c>
      <c r="C713" t="s">
        <v>1458</v>
      </c>
      <c r="D713" s="3" t="s">
        <v>1459</v>
      </c>
      <c r="E713" s="6">
        <v>4300</v>
      </c>
      <c r="F713" s="6">
        <v>6358</v>
      </c>
      <c r="G713" s="17">
        <f>ROUND(Table1[[#This Row],[pledged]]/Table1[[#This Row],[goal]]*100,2)</f>
        <v>147.86000000000001</v>
      </c>
      <c r="H713" s="5">
        <f>+Table1[[#This Row],[pledged]]/Table1[[#This Row],[goal]]</f>
        <v>1.4786046511627906</v>
      </c>
      <c r="I713" t="s">
        <v>20</v>
      </c>
      <c r="J713">
        <v>125</v>
      </c>
      <c r="K713" s="8">
        <f>IFERROR(Table1[[#This Row],[pledged]]/Table1[[#This Row],[backers_count]],"NA")</f>
        <v>50.863999999999997</v>
      </c>
      <c r="L713" t="s">
        <v>21</v>
      </c>
      <c r="M713" t="s">
        <v>22</v>
      </c>
      <c r="N713">
        <v>1531544400</v>
      </c>
      <c r="O713">
        <v>1532149200</v>
      </c>
      <c r="P713" s="11">
        <f>+(((Table1[[#This Row],[launched_at]]/60)/60)/24)+DATE(1970,1,1)</f>
        <v>43295.208333333328</v>
      </c>
      <c r="Q713" s="11">
        <f>+(((Table1[[#This Row],[deadline]]/60)/60)/24)+DATE(1970,1,1)</f>
        <v>43302.208333333328</v>
      </c>
      <c r="R713" t="b">
        <v>0</v>
      </c>
      <c r="S713" t="b">
        <v>1</v>
      </c>
      <c r="T713" t="s">
        <v>33</v>
      </c>
      <c r="U713" t="str">
        <f>+LEFT(Table1[[#This Row],[category &amp; sub-category]],FIND("/",Table1[[#This Row],[category &amp; sub-category]])-1)</f>
        <v>theater</v>
      </c>
      <c r="V713" t="str">
        <f>+RIGHT(Table1[[#This Row],[category &amp; sub-category]],LEN(Table1[[#This Row],[category &amp; sub-category]])-SEARCH("/",Table1[[#This Row],[category &amp; sub-category]]))</f>
        <v>plays</v>
      </c>
    </row>
    <row r="714" spans="2:22" ht="15.75" customHeight="1" x14ac:dyDescent="0.25">
      <c r="B714">
        <v>711</v>
      </c>
      <c r="C714" t="s">
        <v>1460</v>
      </c>
      <c r="D714" s="3" t="s">
        <v>1461</v>
      </c>
      <c r="E714" s="6">
        <v>6200</v>
      </c>
      <c r="F714" s="6">
        <v>1260</v>
      </c>
      <c r="G714" s="17">
        <f>ROUND(Table1[[#This Row],[pledged]]/Table1[[#This Row],[goal]]*100,2)</f>
        <v>20.32</v>
      </c>
      <c r="H714" s="5">
        <f>+Table1[[#This Row],[pledged]]/Table1[[#This Row],[goal]]</f>
        <v>0.20322580645161289</v>
      </c>
      <c r="I714" t="s">
        <v>14</v>
      </c>
      <c r="J714">
        <v>14</v>
      </c>
      <c r="K714" s="8">
        <f>IFERROR(Table1[[#This Row],[pledged]]/Table1[[#This Row],[backers_count]],"NA")</f>
        <v>90</v>
      </c>
      <c r="L714" t="s">
        <v>107</v>
      </c>
      <c r="M714" t="s">
        <v>108</v>
      </c>
      <c r="N714">
        <v>1453615200</v>
      </c>
      <c r="O714">
        <v>1453788000</v>
      </c>
      <c r="P714" s="11">
        <f>+(((Table1[[#This Row],[launched_at]]/60)/60)/24)+DATE(1970,1,1)</f>
        <v>42393.25</v>
      </c>
      <c r="Q714" s="11">
        <f>+(((Table1[[#This Row],[deadline]]/60)/60)/24)+DATE(1970,1,1)</f>
        <v>42395.25</v>
      </c>
      <c r="R714" t="b">
        <v>1</v>
      </c>
      <c r="S714" t="b">
        <v>1</v>
      </c>
      <c r="T714" t="s">
        <v>33</v>
      </c>
      <c r="U714" t="str">
        <f>+LEFT(Table1[[#This Row],[category &amp; sub-category]],FIND("/",Table1[[#This Row],[category &amp; sub-category]])-1)</f>
        <v>theater</v>
      </c>
      <c r="V714" t="str">
        <f>+RIGHT(Table1[[#This Row],[category &amp; sub-category]],LEN(Table1[[#This Row],[category &amp; sub-category]])-SEARCH("/",Table1[[#This Row],[category &amp; sub-category]]))</f>
        <v>plays</v>
      </c>
    </row>
    <row r="715" spans="2:22" ht="15.75" customHeight="1" x14ac:dyDescent="0.25">
      <c r="B715">
        <v>712</v>
      </c>
      <c r="C715" t="s">
        <v>1462</v>
      </c>
      <c r="D715" s="3" t="s">
        <v>1463</v>
      </c>
      <c r="E715" s="6">
        <v>800</v>
      </c>
      <c r="F715" s="6">
        <v>14725</v>
      </c>
      <c r="G715" s="17">
        <f>ROUND(Table1[[#This Row],[pledged]]/Table1[[#This Row],[goal]]*100,2)</f>
        <v>1840.63</v>
      </c>
      <c r="H715" s="5">
        <f>+Table1[[#This Row],[pledged]]/Table1[[#This Row],[goal]]</f>
        <v>18.40625</v>
      </c>
      <c r="I715" t="s">
        <v>20</v>
      </c>
      <c r="J715">
        <v>202</v>
      </c>
      <c r="K715" s="8">
        <f>IFERROR(Table1[[#This Row],[pledged]]/Table1[[#This Row],[backers_count]],"NA")</f>
        <v>72.896039603960389</v>
      </c>
      <c r="L715" t="s">
        <v>21</v>
      </c>
      <c r="M715" t="s">
        <v>22</v>
      </c>
      <c r="N715">
        <v>1467954000</v>
      </c>
      <c r="O715">
        <v>1471496400</v>
      </c>
      <c r="P715" s="11">
        <f>+(((Table1[[#This Row],[launched_at]]/60)/60)/24)+DATE(1970,1,1)</f>
        <v>42559.208333333328</v>
      </c>
      <c r="Q715" s="11">
        <f>+(((Table1[[#This Row],[deadline]]/60)/60)/24)+DATE(1970,1,1)</f>
        <v>42600.208333333328</v>
      </c>
      <c r="R715" t="b">
        <v>0</v>
      </c>
      <c r="S715" t="b">
        <v>0</v>
      </c>
      <c r="T715" t="s">
        <v>33</v>
      </c>
      <c r="U715" t="str">
        <f>+LEFT(Table1[[#This Row],[category &amp; sub-category]],FIND("/",Table1[[#This Row],[category &amp; sub-category]])-1)</f>
        <v>theater</v>
      </c>
      <c r="V715" t="str">
        <f>+RIGHT(Table1[[#This Row],[category &amp; sub-category]],LEN(Table1[[#This Row],[category &amp; sub-category]])-SEARCH("/",Table1[[#This Row],[category &amp; sub-category]]))</f>
        <v>plays</v>
      </c>
    </row>
    <row r="716" spans="2:22" ht="15.75" customHeight="1" x14ac:dyDescent="0.25">
      <c r="B716">
        <v>713</v>
      </c>
      <c r="C716" t="s">
        <v>1464</v>
      </c>
      <c r="D716" s="3" t="s">
        <v>1465</v>
      </c>
      <c r="E716" s="6">
        <v>6900</v>
      </c>
      <c r="F716" s="6">
        <v>11174</v>
      </c>
      <c r="G716" s="17">
        <f>ROUND(Table1[[#This Row],[pledged]]/Table1[[#This Row],[goal]]*100,2)</f>
        <v>161.94</v>
      </c>
      <c r="H716" s="5">
        <f>+Table1[[#This Row],[pledged]]/Table1[[#This Row],[goal]]</f>
        <v>1.6194202898550725</v>
      </c>
      <c r="I716" t="s">
        <v>20</v>
      </c>
      <c r="J716">
        <v>103</v>
      </c>
      <c r="K716" s="8">
        <f>IFERROR(Table1[[#This Row],[pledged]]/Table1[[#This Row],[backers_count]],"NA")</f>
        <v>108.48543689320388</v>
      </c>
      <c r="L716" t="s">
        <v>21</v>
      </c>
      <c r="M716" t="s">
        <v>22</v>
      </c>
      <c r="N716">
        <v>1471842000</v>
      </c>
      <c r="O716">
        <v>1472878800</v>
      </c>
      <c r="P716" s="11">
        <f>+(((Table1[[#This Row],[launched_at]]/60)/60)/24)+DATE(1970,1,1)</f>
        <v>42604.208333333328</v>
      </c>
      <c r="Q716" s="11">
        <f>+(((Table1[[#This Row],[deadline]]/60)/60)/24)+DATE(1970,1,1)</f>
        <v>42616.208333333328</v>
      </c>
      <c r="R716" t="b">
        <v>0</v>
      </c>
      <c r="S716" t="b">
        <v>0</v>
      </c>
      <c r="T716" t="s">
        <v>133</v>
      </c>
      <c r="U716" t="str">
        <f>+LEFT(Table1[[#This Row],[category &amp; sub-category]],FIND("/",Table1[[#This Row],[category &amp; sub-category]])-1)</f>
        <v>publishing</v>
      </c>
      <c r="V716" t="str">
        <f>+RIGHT(Table1[[#This Row],[category &amp; sub-category]],LEN(Table1[[#This Row],[category &amp; sub-category]])-SEARCH("/",Table1[[#This Row],[category &amp; sub-category]]))</f>
        <v>radio &amp; podcasts</v>
      </c>
    </row>
    <row r="717" spans="2:22" ht="15.75" customHeight="1" x14ac:dyDescent="0.25">
      <c r="B717">
        <v>714</v>
      </c>
      <c r="C717" t="s">
        <v>1466</v>
      </c>
      <c r="D717" s="3" t="s">
        <v>1467</v>
      </c>
      <c r="E717" s="6">
        <v>38500</v>
      </c>
      <c r="F717" s="6">
        <v>182036</v>
      </c>
      <c r="G717" s="17">
        <f>ROUND(Table1[[#This Row],[pledged]]/Table1[[#This Row],[goal]]*100,2)</f>
        <v>472.82</v>
      </c>
      <c r="H717" s="5">
        <f>+Table1[[#This Row],[pledged]]/Table1[[#This Row],[goal]]</f>
        <v>4.7282077922077921</v>
      </c>
      <c r="I717" t="s">
        <v>20</v>
      </c>
      <c r="J717">
        <v>1785</v>
      </c>
      <c r="K717" s="8">
        <f>IFERROR(Table1[[#This Row],[pledged]]/Table1[[#This Row],[backers_count]],"NA")</f>
        <v>101.98095238095237</v>
      </c>
      <c r="L717" t="s">
        <v>21</v>
      </c>
      <c r="M717" t="s">
        <v>22</v>
      </c>
      <c r="N717">
        <v>1408424400</v>
      </c>
      <c r="O717">
        <v>1408510800</v>
      </c>
      <c r="P717" s="11">
        <f>+(((Table1[[#This Row],[launched_at]]/60)/60)/24)+DATE(1970,1,1)</f>
        <v>41870.208333333336</v>
      </c>
      <c r="Q717" s="11">
        <f>+(((Table1[[#This Row],[deadline]]/60)/60)/24)+DATE(1970,1,1)</f>
        <v>41871.208333333336</v>
      </c>
      <c r="R717" t="b">
        <v>0</v>
      </c>
      <c r="S717" t="b">
        <v>0</v>
      </c>
      <c r="T717" t="s">
        <v>23</v>
      </c>
      <c r="U717" t="str">
        <f>+LEFT(Table1[[#This Row],[category &amp; sub-category]],FIND("/",Table1[[#This Row],[category &amp; sub-category]])-1)</f>
        <v>music</v>
      </c>
      <c r="V717" t="str">
        <f>+RIGHT(Table1[[#This Row],[category &amp; sub-category]],LEN(Table1[[#This Row],[category &amp; sub-category]])-SEARCH("/",Table1[[#This Row],[category &amp; sub-category]]))</f>
        <v>rock</v>
      </c>
    </row>
    <row r="718" spans="2:22" ht="15.75" customHeight="1" x14ac:dyDescent="0.25">
      <c r="B718">
        <v>715</v>
      </c>
      <c r="C718" t="s">
        <v>1468</v>
      </c>
      <c r="D718" s="3" t="s">
        <v>1469</v>
      </c>
      <c r="E718" s="6">
        <v>118000</v>
      </c>
      <c r="F718" s="6">
        <v>28870</v>
      </c>
      <c r="G718" s="17">
        <f>ROUND(Table1[[#This Row],[pledged]]/Table1[[#This Row],[goal]]*100,2)</f>
        <v>24.47</v>
      </c>
      <c r="H718" s="5">
        <f>+Table1[[#This Row],[pledged]]/Table1[[#This Row],[goal]]</f>
        <v>0.24466101694915254</v>
      </c>
      <c r="I718" t="s">
        <v>14</v>
      </c>
      <c r="J718">
        <v>656</v>
      </c>
      <c r="K718" s="8">
        <f>IFERROR(Table1[[#This Row],[pledged]]/Table1[[#This Row],[backers_count]],"NA")</f>
        <v>44.009146341463413</v>
      </c>
      <c r="L718" t="s">
        <v>21</v>
      </c>
      <c r="M718" t="s">
        <v>22</v>
      </c>
      <c r="N718">
        <v>1281157200</v>
      </c>
      <c r="O718">
        <v>1281589200</v>
      </c>
      <c r="P718" s="11">
        <f>+(((Table1[[#This Row],[launched_at]]/60)/60)/24)+DATE(1970,1,1)</f>
        <v>40397.208333333336</v>
      </c>
      <c r="Q718" s="11">
        <f>+(((Table1[[#This Row],[deadline]]/60)/60)/24)+DATE(1970,1,1)</f>
        <v>40402.208333333336</v>
      </c>
      <c r="R718" t="b">
        <v>0</v>
      </c>
      <c r="S718" t="b">
        <v>0</v>
      </c>
      <c r="T718" t="s">
        <v>292</v>
      </c>
      <c r="U718" t="str">
        <f>+LEFT(Table1[[#This Row],[category &amp; sub-category]],FIND("/",Table1[[#This Row],[category &amp; sub-category]])-1)</f>
        <v>games</v>
      </c>
      <c r="V718" t="str">
        <f>+RIGHT(Table1[[#This Row],[category &amp; sub-category]],LEN(Table1[[#This Row],[category &amp; sub-category]])-SEARCH("/",Table1[[#This Row],[category &amp; sub-category]]))</f>
        <v>mobile games</v>
      </c>
    </row>
    <row r="719" spans="2:22" ht="15.75" customHeight="1" x14ac:dyDescent="0.25">
      <c r="B719">
        <v>716</v>
      </c>
      <c r="C719" t="s">
        <v>1470</v>
      </c>
      <c r="D719" s="3" t="s">
        <v>1471</v>
      </c>
      <c r="E719" s="6">
        <v>2000</v>
      </c>
      <c r="F719" s="6">
        <v>10353</v>
      </c>
      <c r="G719" s="17">
        <f>ROUND(Table1[[#This Row],[pledged]]/Table1[[#This Row],[goal]]*100,2)</f>
        <v>517.65</v>
      </c>
      <c r="H719" s="5">
        <f>+Table1[[#This Row],[pledged]]/Table1[[#This Row],[goal]]</f>
        <v>5.1764999999999999</v>
      </c>
      <c r="I719" t="s">
        <v>20</v>
      </c>
      <c r="J719">
        <v>157</v>
      </c>
      <c r="K719" s="8">
        <f>IFERROR(Table1[[#This Row],[pledged]]/Table1[[#This Row],[backers_count]],"NA")</f>
        <v>65.942675159235662</v>
      </c>
      <c r="L719" t="s">
        <v>21</v>
      </c>
      <c r="M719" t="s">
        <v>22</v>
      </c>
      <c r="N719">
        <v>1373432400</v>
      </c>
      <c r="O719">
        <v>1375851600</v>
      </c>
      <c r="P719" s="11">
        <f>+(((Table1[[#This Row],[launched_at]]/60)/60)/24)+DATE(1970,1,1)</f>
        <v>41465.208333333336</v>
      </c>
      <c r="Q719" s="11">
        <f>+(((Table1[[#This Row],[deadline]]/60)/60)/24)+DATE(1970,1,1)</f>
        <v>41493.208333333336</v>
      </c>
      <c r="R719" t="b">
        <v>0</v>
      </c>
      <c r="S719" t="b">
        <v>1</v>
      </c>
      <c r="T719" t="s">
        <v>33</v>
      </c>
      <c r="U719" t="str">
        <f>+LEFT(Table1[[#This Row],[category &amp; sub-category]],FIND("/",Table1[[#This Row],[category &amp; sub-category]])-1)</f>
        <v>theater</v>
      </c>
      <c r="V719" t="str">
        <f>+RIGHT(Table1[[#This Row],[category &amp; sub-category]],LEN(Table1[[#This Row],[category &amp; sub-category]])-SEARCH("/",Table1[[#This Row],[category &amp; sub-category]]))</f>
        <v>plays</v>
      </c>
    </row>
    <row r="720" spans="2:22" ht="15.75" customHeight="1" x14ac:dyDescent="0.25">
      <c r="B720">
        <v>717</v>
      </c>
      <c r="C720" t="s">
        <v>1472</v>
      </c>
      <c r="D720" s="3" t="s">
        <v>1473</v>
      </c>
      <c r="E720" s="6">
        <v>5600</v>
      </c>
      <c r="F720" s="6">
        <v>13868</v>
      </c>
      <c r="G720" s="17">
        <f>ROUND(Table1[[#This Row],[pledged]]/Table1[[#This Row],[goal]]*100,2)</f>
        <v>247.64</v>
      </c>
      <c r="H720" s="5">
        <f>+Table1[[#This Row],[pledged]]/Table1[[#This Row],[goal]]</f>
        <v>2.4764285714285714</v>
      </c>
      <c r="I720" t="s">
        <v>20</v>
      </c>
      <c r="J720">
        <v>555</v>
      </c>
      <c r="K720" s="8">
        <f>IFERROR(Table1[[#This Row],[pledged]]/Table1[[#This Row],[backers_count]],"NA")</f>
        <v>24.987387387387386</v>
      </c>
      <c r="L720" t="s">
        <v>21</v>
      </c>
      <c r="M720" t="s">
        <v>22</v>
      </c>
      <c r="N720">
        <v>1313989200</v>
      </c>
      <c r="O720">
        <v>1315803600</v>
      </c>
      <c r="P720" s="11">
        <f>+(((Table1[[#This Row],[launched_at]]/60)/60)/24)+DATE(1970,1,1)</f>
        <v>40777.208333333336</v>
      </c>
      <c r="Q720" s="11">
        <f>+(((Table1[[#This Row],[deadline]]/60)/60)/24)+DATE(1970,1,1)</f>
        <v>40798.208333333336</v>
      </c>
      <c r="R720" t="b">
        <v>0</v>
      </c>
      <c r="S720" t="b">
        <v>0</v>
      </c>
      <c r="T720" t="s">
        <v>42</v>
      </c>
      <c r="U720" t="str">
        <f>+LEFT(Table1[[#This Row],[category &amp; sub-category]],FIND("/",Table1[[#This Row],[category &amp; sub-category]])-1)</f>
        <v>film &amp; video</v>
      </c>
      <c r="V720" t="str">
        <f>+RIGHT(Table1[[#This Row],[category &amp; sub-category]],LEN(Table1[[#This Row],[category &amp; sub-category]])-SEARCH("/",Table1[[#This Row],[category &amp; sub-category]]))</f>
        <v>documentary</v>
      </c>
    </row>
    <row r="721" spans="2:22" ht="15.75" customHeight="1" x14ac:dyDescent="0.25">
      <c r="B721">
        <v>718</v>
      </c>
      <c r="C721" t="s">
        <v>1474</v>
      </c>
      <c r="D721" s="3" t="s">
        <v>1475</v>
      </c>
      <c r="E721" s="6">
        <v>8300</v>
      </c>
      <c r="F721" s="6">
        <v>8317</v>
      </c>
      <c r="G721" s="17">
        <f>ROUND(Table1[[#This Row],[pledged]]/Table1[[#This Row],[goal]]*100,2)</f>
        <v>100.2</v>
      </c>
      <c r="H721" s="5">
        <f>+Table1[[#This Row],[pledged]]/Table1[[#This Row],[goal]]</f>
        <v>1.0020481927710843</v>
      </c>
      <c r="I721" t="s">
        <v>20</v>
      </c>
      <c r="J721">
        <v>297</v>
      </c>
      <c r="K721" s="8">
        <f>IFERROR(Table1[[#This Row],[pledged]]/Table1[[#This Row],[backers_count]],"NA")</f>
        <v>28.003367003367003</v>
      </c>
      <c r="L721" t="s">
        <v>21</v>
      </c>
      <c r="M721" t="s">
        <v>22</v>
      </c>
      <c r="N721">
        <v>1371445200</v>
      </c>
      <c r="O721">
        <v>1373691600</v>
      </c>
      <c r="P721" s="11">
        <f>+(((Table1[[#This Row],[launched_at]]/60)/60)/24)+DATE(1970,1,1)</f>
        <v>41442.208333333336</v>
      </c>
      <c r="Q721" s="11">
        <f>+(((Table1[[#This Row],[deadline]]/60)/60)/24)+DATE(1970,1,1)</f>
        <v>41468.208333333336</v>
      </c>
      <c r="R721" t="b">
        <v>0</v>
      </c>
      <c r="S721" t="b">
        <v>0</v>
      </c>
      <c r="T721" t="s">
        <v>65</v>
      </c>
      <c r="U721" t="str">
        <f>+LEFT(Table1[[#This Row],[category &amp; sub-category]],FIND("/",Table1[[#This Row],[category &amp; sub-category]])-1)</f>
        <v>technology</v>
      </c>
      <c r="V721" t="str">
        <f>+RIGHT(Table1[[#This Row],[category &amp; sub-category]],LEN(Table1[[#This Row],[category &amp; sub-category]])-SEARCH("/",Table1[[#This Row],[category &amp; sub-category]]))</f>
        <v>wearables</v>
      </c>
    </row>
    <row r="722" spans="2:22" ht="15.75" customHeight="1" x14ac:dyDescent="0.25">
      <c r="B722">
        <v>719</v>
      </c>
      <c r="C722" t="s">
        <v>1476</v>
      </c>
      <c r="D722" s="3" t="s">
        <v>1477</v>
      </c>
      <c r="E722" s="6">
        <v>6900</v>
      </c>
      <c r="F722" s="6">
        <v>10557</v>
      </c>
      <c r="G722" s="17">
        <f>ROUND(Table1[[#This Row],[pledged]]/Table1[[#This Row],[goal]]*100,2)</f>
        <v>153</v>
      </c>
      <c r="H722" s="5">
        <f>+Table1[[#This Row],[pledged]]/Table1[[#This Row],[goal]]</f>
        <v>1.53</v>
      </c>
      <c r="I722" t="s">
        <v>20</v>
      </c>
      <c r="J722">
        <v>123</v>
      </c>
      <c r="K722" s="8">
        <f>IFERROR(Table1[[#This Row],[pledged]]/Table1[[#This Row],[backers_count]],"NA")</f>
        <v>85.829268292682926</v>
      </c>
      <c r="L722" t="s">
        <v>21</v>
      </c>
      <c r="M722" t="s">
        <v>22</v>
      </c>
      <c r="N722">
        <v>1338267600</v>
      </c>
      <c r="O722">
        <v>1339218000</v>
      </c>
      <c r="P722" s="11">
        <f>+(((Table1[[#This Row],[launched_at]]/60)/60)/24)+DATE(1970,1,1)</f>
        <v>41058.208333333336</v>
      </c>
      <c r="Q722" s="11">
        <f>+(((Table1[[#This Row],[deadline]]/60)/60)/24)+DATE(1970,1,1)</f>
        <v>41069.208333333336</v>
      </c>
      <c r="R722" t="b">
        <v>0</v>
      </c>
      <c r="S722" t="b">
        <v>0</v>
      </c>
      <c r="T722" t="s">
        <v>119</v>
      </c>
      <c r="U722" t="str">
        <f>+LEFT(Table1[[#This Row],[category &amp; sub-category]],FIND("/",Table1[[#This Row],[category &amp; sub-category]])-1)</f>
        <v>publishing</v>
      </c>
      <c r="V722" t="str">
        <f>+RIGHT(Table1[[#This Row],[category &amp; sub-category]],LEN(Table1[[#This Row],[category &amp; sub-category]])-SEARCH("/",Table1[[#This Row],[category &amp; sub-category]]))</f>
        <v>fiction</v>
      </c>
    </row>
    <row r="723" spans="2:22" ht="15.75" customHeight="1" x14ac:dyDescent="0.25">
      <c r="B723">
        <v>720</v>
      </c>
      <c r="C723" t="s">
        <v>1478</v>
      </c>
      <c r="D723" s="3" t="s">
        <v>1479</v>
      </c>
      <c r="E723" s="6">
        <v>8700</v>
      </c>
      <c r="F723" s="6">
        <v>3227</v>
      </c>
      <c r="G723" s="17">
        <f>ROUND(Table1[[#This Row],[pledged]]/Table1[[#This Row],[goal]]*100,2)</f>
        <v>37.090000000000003</v>
      </c>
      <c r="H723" s="5">
        <f>+Table1[[#This Row],[pledged]]/Table1[[#This Row],[goal]]</f>
        <v>0.37091954022988505</v>
      </c>
      <c r="I723" t="s">
        <v>74</v>
      </c>
      <c r="J723">
        <v>38</v>
      </c>
      <c r="K723" s="8">
        <f>IFERROR(Table1[[#This Row],[pledged]]/Table1[[#This Row],[backers_count]],"NA")</f>
        <v>84.921052631578945</v>
      </c>
      <c r="L723" t="s">
        <v>36</v>
      </c>
      <c r="M723" t="s">
        <v>37</v>
      </c>
      <c r="N723">
        <v>1519192800</v>
      </c>
      <c r="O723">
        <v>1520402400</v>
      </c>
      <c r="P723" s="11">
        <f>+(((Table1[[#This Row],[launched_at]]/60)/60)/24)+DATE(1970,1,1)</f>
        <v>43152.25</v>
      </c>
      <c r="Q723" s="11">
        <f>+(((Table1[[#This Row],[deadline]]/60)/60)/24)+DATE(1970,1,1)</f>
        <v>43166.25</v>
      </c>
      <c r="R723" t="b">
        <v>0</v>
      </c>
      <c r="S723" t="b">
        <v>1</v>
      </c>
      <c r="T723" t="s">
        <v>33</v>
      </c>
      <c r="U723" t="str">
        <f>+LEFT(Table1[[#This Row],[category &amp; sub-category]],FIND("/",Table1[[#This Row],[category &amp; sub-category]])-1)</f>
        <v>theater</v>
      </c>
      <c r="V723" t="str">
        <f>+RIGHT(Table1[[#This Row],[category &amp; sub-category]],LEN(Table1[[#This Row],[category &amp; sub-category]])-SEARCH("/",Table1[[#This Row],[category &amp; sub-category]]))</f>
        <v>plays</v>
      </c>
    </row>
    <row r="724" spans="2:22" ht="15.75" customHeight="1" x14ac:dyDescent="0.25">
      <c r="B724">
        <v>721</v>
      </c>
      <c r="C724" t="s">
        <v>1480</v>
      </c>
      <c r="D724" s="3" t="s">
        <v>1481</v>
      </c>
      <c r="E724" s="6">
        <v>123600</v>
      </c>
      <c r="F724" s="6">
        <v>5429</v>
      </c>
      <c r="G724" s="17">
        <f>ROUND(Table1[[#This Row],[pledged]]/Table1[[#This Row],[goal]]*100,2)</f>
        <v>4.3899999999999997</v>
      </c>
      <c r="H724" s="5">
        <f>+Table1[[#This Row],[pledged]]/Table1[[#This Row],[goal]]</f>
        <v>4.3923948220064728E-2</v>
      </c>
      <c r="I724" t="s">
        <v>74</v>
      </c>
      <c r="J724">
        <v>60</v>
      </c>
      <c r="K724" s="8">
        <f>IFERROR(Table1[[#This Row],[pledged]]/Table1[[#This Row],[backers_count]],"NA")</f>
        <v>90.483333333333334</v>
      </c>
      <c r="L724" t="s">
        <v>21</v>
      </c>
      <c r="M724" t="s">
        <v>22</v>
      </c>
      <c r="N724">
        <v>1522818000</v>
      </c>
      <c r="O724">
        <v>1523336400</v>
      </c>
      <c r="P724" s="11">
        <f>+(((Table1[[#This Row],[launched_at]]/60)/60)/24)+DATE(1970,1,1)</f>
        <v>43194.208333333328</v>
      </c>
      <c r="Q724" s="11">
        <f>+(((Table1[[#This Row],[deadline]]/60)/60)/24)+DATE(1970,1,1)</f>
        <v>43200.208333333328</v>
      </c>
      <c r="R724" t="b">
        <v>0</v>
      </c>
      <c r="S724" t="b">
        <v>0</v>
      </c>
      <c r="T724" t="s">
        <v>23</v>
      </c>
      <c r="U724" t="str">
        <f>+LEFT(Table1[[#This Row],[category &amp; sub-category]],FIND("/",Table1[[#This Row],[category &amp; sub-category]])-1)</f>
        <v>music</v>
      </c>
      <c r="V724" t="str">
        <f>+RIGHT(Table1[[#This Row],[category &amp; sub-category]],LEN(Table1[[#This Row],[category &amp; sub-category]])-SEARCH("/",Table1[[#This Row],[category &amp; sub-category]]))</f>
        <v>rock</v>
      </c>
    </row>
    <row r="725" spans="2:22" ht="15.75" customHeight="1" x14ac:dyDescent="0.25">
      <c r="B725">
        <v>722</v>
      </c>
      <c r="C725" t="s">
        <v>1482</v>
      </c>
      <c r="D725" s="3" t="s">
        <v>1483</v>
      </c>
      <c r="E725" s="6">
        <v>48500</v>
      </c>
      <c r="F725" s="6">
        <v>75906</v>
      </c>
      <c r="G725" s="17">
        <f>ROUND(Table1[[#This Row],[pledged]]/Table1[[#This Row],[goal]]*100,2)</f>
        <v>156.51</v>
      </c>
      <c r="H725" s="5">
        <f>+Table1[[#This Row],[pledged]]/Table1[[#This Row],[goal]]</f>
        <v>1.5650721649484536</v>
      </c>
      <c r="I725" t="s">
        <v>20</v>
      </c>
      <c r="J725">
        <v>3036</v>
      </c>
      <c r="K725" s="8">
        <f>IFERROR(Table1[[#This Row],[pledged]]/Table1[[#This Row],[backers_count]],"NA")</f>
        <v>25.00197628458498</v>
      </c>
      <c r="L725" t="s">
        <v>21</v>
      </c>
      <c r="M725" t="s">
        <v>22</v>
      </c>
      <c r="N725">
        <v>1509948000</v>
      </c>
      <c r="O725">
        <v>1512280800</v>
      </c>
      <c r="P725" s="11">
        <f>+(((Table1[[#This Row],[launched_at]]/60)/60)/24)+DATE(1970,1,1)</f>
        <v>43045.25</v>
      </c>
      <c r="Q725" s="11">
        <f>+(((Table1[[#This Row],[deadline]]/60)/60)/24)+DATE(1970,1,1)</f>
        <v>43072.25</v>
      </c>
      <c r="R725" t="b">
        <v>0</v>
      </c>
      <c r="S725" t="b">
        <v>0</v>
      </c>
      <c r="T725" t="s">
        <v>42</v>
      </c>
      <c r="U725" t="str">
        <f>+LEFT(Table1[[#This Row],[category &amp; sub-category]],FIND("/",Table1[[#This Row],[category &amp; sub-category]])-1)</f>
        <v>film &amp; video</v>
      </c>
      <c r="V725" t="str">
        <f>+RIGHT(Table1[[#This Row],[category &amp; sub-category]],LEN(Table1[[#This Row],[category &amp; sub-category]])-SEARCH("/",Table1[[#This Row],[category &amp; sub-category]]))</f>
        <v>documentary</v>
      </c>
    </row>
    <row r="726" spans="2:22" ht="15.75" customHeight="1" x14ac:dyDescent="0.25">
      <c r="B726">
        <v>723</v>
      </c>
      <c r="C726" t="s">
        <v>1484</v>
      </c>
      <c r="D726" s="3" t="s">
        <v>1485</v>
      </c>
      <c r="E726" s="6">
        <v>4900</v>
      </c>
      <c r="F726" s="6">
        <v>13250</v>
      </c>
      <c r="G726" s="17">
        <f>ROUND(Table1[[#This Row],[pledged]]/Table1[[#This Row],[goal]]*100,2)</f>
        <v>270.41000000000003</v>
      </c>
      <c r="H726" s="5">
        <f>+Table1[[#This Row],[pledged]]/Table1[[#This Row],[goal]]</f>
        <v>2.704081632653061</v>
      </c>
      <c r="I726" t="s">
        <v>20</v>
      </c>
      <c r="J726">
        <v>144</v>
      </c>
      <c r="K726" s="8">
        <f>IFERROR(Table1[[#This Row],[pledged]]/Table1[[#This Row],[backers_count]],"NA")</f>
        <v>92.013888888888886</v>
      </c>
      <c r="L726" t="s">
        <v>26</v>
      </c>
      <c r="M726" t="s">
        <v>27</v>
      </c>
      <c r="N726">
        <v>1456898400</v>
      </c>
      <c r="O726">
        <v>1458709200</v>
      </c>
      <c r="P726" s="11">
        <f>+(((Table1[[#This Row],[launched_at]]/60)/60)/24)+DATE(1970,1,1)</f>
        <v>42431.25</v>
      </c>
      <c r="Q726" s="11">
        <f>+(((Table1[[#This Row],[deadline]]/60)/60)/24)+DATE(1970,1,1)</f>
        <v>42452.208333333328</v>
      </c>
      <c r="R726" t="b">
        <v>0</v>
      </c>
      <c r="S726" t="b">
        <v>0</v>
      </c>
      <c r="T726" t="s">
        <v>33</v>
      </c>
      <c r="U726" t="str">
        <f>+LEFT(Table1[[#This Row],[category &amp; sub-category]],FIND("/",Table1[[#This Row],[category &amp; sub-category]])-1)</f>
        <v>theater</v>
      </c>
      <c r="V726" t="str">
        <f>+RIGHT(Table1[[#This Row],[category &amp; sub-category]],LEN(Table1[[#This Row],[category &amp; sub-category]])-SEARCH("/",Table1[[#This Row],[category &amp; sub-category]]))</f>
        <v>plays</v>
      </c>
    </row>
    <row r="727" spans="2:22" ht="15.75" customHeight="1" x14ac:dyDescent="0.25">
      <c r="B727">
        <v>724</v>
      </c>
      <c r="C727" t="s">
        <v>1486</v>
      </c>
      <c r="D727" s="3" t="s">
        <v>1487</v>
      </c>
      <c r="E727" s="6">
        <v>8400</v>
      </c>
      <c r="F727" s="6">
        <v>11261</v>
      </c>
      <c r="G727" s="17">
        <f>ROUND(Table1[[#This Row],[pledged]]/Table1[[#This Row],[goal]]*100,2)</f>
        <v>134.06</v>
      </c>
      <c r="H727" s="5">
        <f>+Table1[[#This Row],[pledged]]/Table1[[#This Row],[goal]]</f>
        <v>1.3405952380952382</v>
      </c>
      <c r="I727" t="s">
        <v>20</v>
      </c>
      <c r="J727">
        <v>121</v>
      </c>
      <c r="K727" s="8">
        <f>IFERROR(Table1[[#This Row],[pledged]]/Table1[[#This Row],[backers_count]],"NA")</f>
        <v>93.066115702479337</v>
      </c>
      <c r="L727" t="s">
        <v>40</v>
      </c>
      <c r="M727" t="s">
        <v>41</v>
      </c>
      <c r="N727">
        <v>1413954000</v>
      </c>
      <c r="O727">
        <v>1414126800</v>
      </c>
      <c r="P727" s="11">
        <f>+(((Table1[[#This Row],[launched_at]]/60)/60)/24)+DATE(1970,1,1)</f>
        <v>41934.208333333336</v>
      </c>
      <c r="Q727" s="11">
        <f>+(((Table1[[#This Row],[deadline]]/60)/60)/24)+DATE(1970,1,1)</f>
        <v>41936.208333333336</v>
      </c>
      <c r="R727" t="b">
        <v>0</v>
      </c>
      <c r="S727" t="b">
        <v>1</v>
      </c>
      <c r="T727" t="s">
        <v>33</v>
      </c>
      <c r="U727" t="str">
        <f>+LEFT(Table1[[#This Row],[category &amp; sub-category]],FIND("/",Table1[[#This Row],[category &amp; sub-category]])-1)</f>
        <v>theater</v>
      </c>
      <c r="V727" t="str">
        <f>+RIGHT(Table1[[#This Row],[category &amp; sub-category]],LEN(Table1[[#This Row],[category &amp; sub-category]])-SEARCH("/",Table1[[#This Row],[category &amp; sub-category]]))</f>
        <v>plays</v>
      </c>
    </row>
    <row r="728" spans="2:22" ht="15.75" customHeight="1" x14ac:dyDescent="0.25">
      <c r="B728">
        <v>725</v>
      </c>
      <c r="C728" t="s">
        <v>1488</v>
      </c>
      <c r="D728" s="3" t="s">
        <v>1489</v>
      </c>
      <c r="E728" s="6">
        <v>193200</v>
      </c>
      <c r="F728" s="6">
        <v>97369</v>
      </c>
      <c r="G728" s="17">
        <f>ROUND(Table1[[#This Row],[pledged]]/Table1[[#This Row],[goal]]*100,2)</f>
        <v>50.4</v>
      </c>
      <c r="H728" s="5">
        <f>+Table1[[#This Row],[pledged]]/Table1[[#This Row],[goal]]</f>
        <v>0.50398033126293995</v>
      </c>
      <c r="I728" t="s">
        <v>14</v>
      </c>
      <c r="J728">
        <v>1596</v>
      </c>
      <c r="K728" s="8">
        <f>IFERROR(Table1[[#This Row],[pledged]]/Table1[[#This Row],[backers_count]],"NA")</f>
        <v>61.008145363408524</v>
      </c>
      <c r="L728" t="s">
        <v>21</v>
      </c>
      <c r="M728" t="s">
        <v>22</v>
      </c>
      <c r="N728">
        <v>1416031200</v>
      </c>
      <c r="O728">
        <v>1416204000</v>
      </c>
      <c r="P728" s="11">
        <f>+(((Table1[[#This Row],[launched_at]]/60)/60)/24)+DATE(1970,1,1)</f>
        <v>41958.25</v>
      </c>
      <c r="Q728" s="11">
        <f>+(((Table1[[#This Row],[deadline]]/60)/60)/24)+DATE(1970,1,1)</f>
        <v>41960.25</v>
      </c>
      <c r="R728" t="b">
        <v>0</v>
      </c>
      <c r="S728" t="b">
        <v>0</v>
      </c>
      <c r="T728" t="s">
        <v>292</v>
      </c>
      <c r="U728" t="str">
        <f>+LEFT(Table1[[#This Row],[category &amp; sub-category]],FIND("/",Table1[[#This Row],[category &amp; sub-category]])-1)</f>
        <v>games</v>
      </c>
      <c r="V728" t="str">
        <f>+RIGHT(Table1[[#This Row],[category &amp; sub-category]],LEN(Table1[[#This Row],[category &amp; sub-category]])-SEARCH("/",Table1[[#This Row],[category &amp; sub-category]]))</f>
        <v>mobile games</v>
      </c>
    </row>
    <row r="729" spans="2:22" ht="15.75" customHeight="1" x14ac:dyDescent="0.25">
      <c r="B729">
        <v>726</v>
      </c>
      <c r="C729" t="s">
        <v>1490</v>
      </c>
      <c r="D729" s="3" t="s">
        <v>1491</v>
      </c>
      <c r="E729" s="6">
        <v>54300</v>
      </c>
      <c r="F729" s="6">
        <v>48227</v>
      </c>
      <c r="G729" s="17">
        <f>ROUND(Table1[[#This Row],[pledged]]/Table1[[#This Row],[goal]]*100,2)</f>
        <v>88.82</v>
      </c>
      <c r="H729" s="5">
        <f>+Table1[[#This Row],[pledged]]/Table1[[#This Row],[goal]]</f>
        <v>0.88815837937384901</v>
      </c>
      <c r="I729" t="s">
        <v>74</v>
      </c>
      <c r="J729">
        <v>524</v>
      </c>
      <c r="K729" s="8">
        <f>IFERROR(Table1[[#This Row],[pledged]]/Table1[[#This Row],[backers_count]],"NA")</f>
        <v>92.036259541984734</v>
      </c>
      <c r="L729" t="s">
        <v>21</v>
      </c>
      <c r="M729" t="s">
        <v>22</v>
      </c>
      <c r="N729">
        <v>1287982800</v>
      </c>
      <c r="O729">
        <v>1288501200</v>
      </c>
      <c r="P729" s="11">
        <f>+(((Table1[[#This Row],[launched_at]]/60)/60)/24)+DATE(1970,1,1)</f>
        <v>40476.208333333336</v>
      </c>
      <c r="Q729" s="11">
        <f>+(((Table1[[#This Row],[deadline]]/60)/60)/24)+DATE(1970,1,1)</f>
        <v>40482.208333333336</v>
      </c>
      <c r="R729" t="b">
        <v>0</v>
      </c>
      <c r="S729" t="b">
        <v>1</v>
      </c>
      <c r="T729" t="s">
        <v>33</v>
      </c>
      <c r="U729" t="str">
        <f>+LEFT(Table1[[#This Row],[category &amp; sub-category]],FIND("/",Table1[[#This Row],[category &amp; sub-category]])-1)</f>
        <v>theater</v>
      </c>
      <c r="V729" t="str">
        <f>+RIGHT(Table1[[#This Row],[category &amp; sub-category]],LEN(Table1[[#This Row],[category &amp; sub-category]])-SEARCH("/",Table1[[#This Row],[category &amp; sub-category]]))</f>
        <v>plays</v>
      </c>
    </row>
    <row r="730" spans="2:22" ht="15.75" customHeight="1" x14ac:dyDescent="0.25">
      <c r="B730">
        <v>727</v>
      </c>
      <c r="C730" t="s">
        <v>1492</v>
      </c>
      <c r="D730" s="3" t="s">
        <v>1493</v>
      </c>
      <c r="E730" s="6">
        <v>8900</v>
      </c>
      <c r="F730" s="6">
        <v>14685</v>
      </c>
      <c r="G730" s="17">
        <f>ROUND(Table1[[#This Row],[pledged]]/Table1[[#This Row],[goal]]*100,2)</f>
        <v>165</v>
      </c>
      <c r="H730" s="5">
        <f>+Table1[[#This Row],[pledged]]/Table1[[#This Row],[goal]]</f>
        <v>1.65</v>
      </c>
      <c r="I730" t="s">
        <v>20</v>
      </c>
      <c r="J730">
        <v>181</v>
      </c>
      <c r="K730" s="8">
        <f>IFERROR(Table1[[#This Row],[pledged]]/Table1[[#This Row],[backers_count]],"NA")</f>
        <v>81.132596685082873</v>
      </c>
      <c r="L730" t="s">
        <v>21</v>
      </c>
      <c r="M730" t="s">
        <v>22</v>
      </c>
      <c r="N730">
        <v>1547964000</v>
      </c>
      <c r="O730">
        <v>1552971600</v>
      </c>
      <c r="P730" s="11">
        <f>+(((Table1[[#This Row],[launched_at]]/60)/60)/24)+DATE(1970,1,1)</f>
        <v>43485.25</v>
      </c>
      <c r="Q730" s="11">
        <f>+(((Table1[[#This Row],[deadline]]/60)/60)/24)+DATE(1970,1,1)</f>
        <v>43543.208333333328</v>
      </c>
      <c r="R730" t="b">
        <v>0</v>
      </c>
      <c r="S730" t="b">
        <v>0</v>
      </c>
      <c r="T730" t="s">
        <v>28</v>
      </c>
      <c r="U730" t="str">
        <f>+LEFT(Table1[[#This Row],[category &amp; sub-category]],FIND("/",Table1[[#This Row],[category &amp; sub-category]])-1)</f>
        <v>technology</v>
      </c>
      <c r="V730" t="str">
        <f>+RIGHT(Table1[[#This Row],[category &amp; sub-category]],LEN(Table1[[#This Row],[category &amp; sub-category]])-SEARCH("/",Table1[[#This Row],[category &amp; sub-category]]))</f>
        <v>web</v>
      </c>
    </row>
    <row r="731" spans="2:22" ht="15.75" customHeight="1" x14ac:dyDescent="0.25">
      <c r="B731">
        <v>728</v>
      </c>
      <c r="C731" t="s">
        <v>1494</v>
      </c>
      <c r="D731" s="3" t="s">
        <v>1495</v>
      </c>
      <c r="E731" s="6">
        <v>4200</v>
      </c>
      <c r="F731" s="6">
        <v>735</v>
      </c>
      <c r="G731" s="17">
        <f>ROUND(Table1[[#This Row],[pledged]]/Table1[[#This Row],[goal]]*100,2)</f>
        <v>17.5</v>
      </c>
      <c r="H731" s="5">
        <f>+Table1[[#This Row],[pledged]]/Table1[[#This Row],[goal]]</f>
        <v>0.17499999999999999</v>
      </c>
      <c r="I731" t="s">
        <v>14</v>
      </c>
      <c r="J731">
        <v>10</v>
      </c>
      <c r="K731" s="8">
        <f>IFERROR(Table1[[#This Row],[pledged]]/Table1[[#This Row],[backers_count]],"NA")</f>
        <v>73.5</v>
      </c>
      <c r="L731" t="s">
        <v>21</v>
      </c>
      <c r="M731" t="s">
        <v>22</v>
      </c>
      <c r="N731">
        <v>1464152400</v>
      </c>
      <c r="O731">
        <v>1465102800</v>
      </c>
      <c r="P731" s="11">
        <f>+(((Table1[[#This Row],[launched_at]]/60)/60)/24)+DATE(1970,1,1)</f>
        <v>42515.208333333328</v>
      </c>
      <c r="Q731" s="11">
        <f>+(((Table1[[#This Row],[deadline]]/60)/60)/24)+DATE(1970,1,1)</f>
        <v>42526.208333333328</v>
      </c>
      <c r="R731" t="b">
        <v>0</v>
      </c>
      <c r="S731" t="b">
        <v>0</v>
      </c>
      <c r="T731" t="s">
        <v>33</v>
      </c>
      <c r="U731" t="str">
        <f>+LEFT(Table1[[#This Row],[category &amp; sub-category]],FIND("/",Table1[[#This Row],[category &amp; sub-category]])-1)</f>
        <v>theater</v>
      </c>
      <c r="V731" t="str">
        <f>+RIGHT(Table1[[#This Row],[category &amp; sub-category]],LEN(Table1[[#This Row],[category &amp; sub-category]])-SEARCH("/",Table1[[#This Row],[category &amp; sub-category]]))</f>
        <v>plays</v>
      </c>
    </row>
    <row r="732" spans="2:22" ht="15.75" customHeight="1" x14ac:dyDescent="0.25">
      <c r="B732">
        <v>729</v>
      </c>
      <c r="C732" t="s">
        <v>1496</v>
      </c>
      <c r="D732" s="3" t="s">
        <v>1497</v>
      </c>
      <c r="E732" s="6">
        <v>5600</v>
      </c>
      <c r="F732" s="6">
        <v>10397</v>
      </c>
      <c r="G732" s="17">
        <f>ROUND(Table1[[#This Row],[pledged]]/Table1[[#This Row],[goal]]*100,2)</f>
        <v>185.66</v>
      </c>
      <c r="H732" s="5">
        <f>+Table1[[#This Row],[pledged]]/Table1[[#This Row],[goal]]</f>
        <v>1.8566071428571429</v>
      </c>
      <c r="I732" t="s">
        <v>20</v>
      </c>
      <c r="J732">
        <v>122</v>
      </c>
      <c r="K732" s="8">
        <f>IFERROR(Table1[[#This Row],[pledged]]/Table1[[#This Row],[backers_count]],"NA")</f>
        <v>85.221311475409834</v>
      </c>
      <c r="L732" t="s">
        <v>21</v>
      </c>
      <c r="M732" t="s">
        <v>22</v>
      </c>
      <c r="N732">
        <v>1359957600</v>
      </c>
      <c r="O732">
        <v>1360130400</v>
      </c>
      <c r="P732" s="11">
        <f>+(((Table1[[#This Row],[launched_at]]/60)/60)/24)+DATE(1970,1,1)</f>
        <v>41309.25</v>
      </c>
      <c r="Q732" s="11">
        <f>+(((Table1[[#This Row],[deadline]]/60)/60)/24)+DATE(1970,1,1)</f>
        <v>41311.25</v>
      </c>
      <c r="R732" t="b">
        <v>0</v>
      </c>
      <c r="S732" t="b">
        <v>0</v>
      </c>
      <c r="T732" t="s">
        <v>53</v>
      </c>
      <c r="U732" t="str">
        <f>+LEFT(Table1[[#This Row],[category &amp; sub-category]],FIND("/",Table1[[#This Row],[category &amp; sub-category]])-1)</f>
        <v>film &amp; video</v>
      </c>
      <c r="V732" t="str">
        <f>+RIGHT(Table1[[#This Row],[category &amp; sub-category]],LEN(Table1[[#This Row],[category &amp; sub-category]])-SEARCH("/",Table1[[#This Row],[category &amp; sub-category]]))</f>
        <v>drama</v>
      </c>
    </row>
    <row r="733" spans="2:22" ht="15.75" customHeight="1" x14ac:dyDescent="0.25">
      <c r="B733">
        <v>730</v>
      </c>
      <c r="C733" t="s">
        <v>1498</v>
      </c>
      <c r="D733" s="3" t="s">
        <v>1499</v>
      </c>
      <c r="E733" s="6">
        <v>28800</v>
      </c>
      <c r="F733" s="6">
        <v>118847</v>
      </c>
      <c r="G733" s="17">
        <f>ROUND(Table1[[#This Row],[pledged]]/Table1[[#This Row],[goal]]*100,2)</f>
        <v>412.66</v>
      </c>
      <c r="H733" s="5">
        <f>+Table1[[#This Row],[pledged]]/Table1[[#This Row],[goal]]</f>
        <v>4.1266319444444441</v>
      </c>
      <c r="I733" t="s">
        <v>20</v>
      </c>
      <c r="J733">
        <v>1071</v>
      </c>
      <c r="K733" s="8">
        <f>IFERROR(Table1[[#This Row],[pledged]]/Table1[[#This Row],[backers_count]],"NA")</f>
        <v>110.96825396825396</v>
      </c>
      <c r="L733" t="s">
        <v>15</v>
      </c>
      <c r="M733" t="s">
        <v>16</v>
      </c>
      <c r="N733">
        <v>1432357200</v>
      </c>
      <c r="O733">
        <v>1432875600</v>
      </c>
      <c r="P733" s="11">
        <f>+(((Table1[[#This Row],[launched_at]]/60)/60)/24)+DATE(1970,1,1)</f>
        <v>42147.208333333328</v>
      </c>
      <c r="Q733" s="11">
        <f>+(((Table1[[#This Row],[deadline]]/60)/60)/24)+DATE(1970,1,1)</f>
        <v>42153.208333333328</v>
      </c>
      <c r="R733" t="b">
        <v>0</v>
      </c>
      <c r="S733" t="b">
        <v>0</v>
      </c>
      <c r="T733" t="s">
        <v>65</v>
      </c>
      <c r="U733" t="str">
        <f>+LEFT(Table1[[#This Row],[category &amp; sub-category]],FIND("/",Table1[[#This Row],[category &amp; sub-category]])-1)</f>
        <v>technology</v>
      </c>
      <c r="V733" t="str">
        <f>+RIGHT(Table1[[#This Row],[category &amp; sub-category]],LEN(Table1[[#This Row],[category &amp; sub-category]])-SEARCH("/",Table1[[#This Row],[category &amp; sub-category]]))</f>
        <v>wearables</v>
      </c>
    </row>
    <row r="734" spans="2:22" ht="15.75" customHeight="1" x14ac:dyDescent="0.25">
      <c r="B734">
        <v>731</v>
      </c>
      <c r="C734" t="s">
        <v>1500</v>
      </c>
      <c r="D734" s="3" t="s">
        <v>1501</v>
      </c>
      <c r="E734" s="6">
        <v>8000</v>
      </c>
      <c r="F734" s="6">
        <v>7220</v>
      </c>
      <c r="G734" s="17">
        <f>ROUND(Table1[[#This Row],[pledged]]/Table1[[#This Row],[goal]]*100,2)</f>
        <v>90.25</v>
      </c>
      <c r="H734" s="5">
        <f>+Table1[[#This Row],[pledged]]/Table1[[#This Row],[goal]]</f>
        <v>0.90249999999999997</v>
      </c>
      <c r="I734" t="s">
        <v>74</v>
      </c>
      <c r="J734">
        <v>219</v>
      </c>
      <c r="K734" s="8">
        <f>IFERROR(Table1[[#This Row],[pledged]]/Table1[[#This Row],[backers_count]],"NA")</f>
        <v>32.968036529680369</v>
      </c>
      <c r="L734" t="s">
        <v>21</v>
      </c>
      <c r="M734" t="s">
        <v>22</v>
      </c>
      <c r="N734">
        <v>1500786000</v>
      </c>
      <c r="O734">
        <v>1500872400</v>
      </c>
      <c r="P734" s="11">
        <f>+(((Table1[[#This Row],[launched_at]]/60)/60)/24)+DATE(1970,1,1)</f>
        <v>42939.208333333328</v>
      </c>
      <c r="Q734" s="11">
        <f>+(((Table1[[#This Row],[deadline]]/60)/60)/24)+DATE(1970,1,1)</f>
        <v>42940.208333333328</v>
      </c>
      <c r="R734" t="b">
        <v>0</v>
      </c>
      <c r="S734" t="b">
        <v>0</v>
      </c>
      <c r="T734" t="s">
        <v>28</v>
      </c>
      <c r="U734" t="str">
        <f>+LEFT(Table1[[#This Row],[category &amp; sub-category]],FIND("/",Table1[[#This Row],[category &amp; sub-category]])-1)</f>
        <v>technology</v>
      </c>
      <c r="V734" t="str">
        <f>+RIGHT(Table1[[#This Row],[category &amp; sub-category]],LEN(Table1[[#This Row],[category &amp; sub-category]])-SEARCH("/",Table1[[#This Row],[category &amp; sub-category]]))</f>
        <v>web</v>
      </c>
    </row>
    <row r="735" spans="2:22" ht="15.75" customHeight="1" x14ac:dyDescent="0.25">
      <c r="B735">
        <v>732</v>
      </c>
      <c r="C735" t="s">
        <v>1502</v>
      </c>
      <c r="D735" s="3" t="s">
        <v>1503</v>
      </c>
      <c r="E735" s="6">
        <v>117000</v>
      </c>
      <c r="F735" s="6">
        <v>107622</v>
      </c>
      <c r="G735" s="17">
        <f>ROUND(Table1[[#This Row],[pledged]]/Table1[[#This Row],[goal]]*100,2)</f>
        <v>91.98</v>
      </c>
      <c r="H735" s="5">
        <f>+Table1[[#This Row],[pledged]]/Table1[[#This Row],[goal]]</f>
        <v>0.91984615384615387</v>
      </c>
      <c r="I735" t="s">
        <v>14</v>
      </c>
      <c r="J735">
        <v>1121</v>
      </c>
      <c r="K735" s="8">
        <f>IFERROR(Table1[[#This Row],[pledged]]/Table1[[#This Row],[backers_count]],"NA")</f>
        <v>96.005352363960753</v>
      </c>
      <c r="L735" t="s">
        <v>21</v>
      </c>
      <c r="M735" t="s">
        <v>22</v>
      </c>
      <c r="N735">
        <v>1490158800</v>
      </c>
      <c r="O735">
        <v>1492146000</v>
      </c>
      <c r="P735" s="11">
        <f>+(((Table1[[#This Row],[launched_at]]/60)/60)/24)+DATE(1970,1,1)</f>
        <v>42816.208333333328</v>
      </c>
      <c r="Q735" s="11">
        <f>+(((Table1[[#This Row],[deadline]]/60)/60)/24)+DATE(1970,1,1)</f>
        <v>42839.208333333328</v>
      </c>
      <c r="R735" t="b">
        <v>0</v>
      </c>
      <c r="S735" t="b">
        <v>1</v>
      </c>
      <c r="T735" t="s">
        <v>23</v>
      </c>
      <c r="U735" t="str">
        <f>+LEFT(Table1[[#This Row],[category &amp; sub-category]],FIND("/",Table1[[#This Row],[category &amp; sub-category]])-1)</f>
        <v>music</v>
      </c>
      <c r="V735" t="str">
        <f>+RIGHT(Table1[[#This Row],[category &amp; sub-category]],LEN(Table1[[#This Row],[category &amp; sub-category]])-SEARCH("/",Table1[[#This Row],[category &amp; sub-category]]))</f>
        <v>rock</v>
      </c>
    </row>
    <row r="736" spans="2:22" ht="15.75" customHeight="1" x14ac:dyDescent="0.25">
      <c r="B736">
        <v>733</v>
      </c>
      <c r="C736" t="s">
        <v>1504</v>
      </c>
      <c r="D736" s="3" t="s">
        <v>1505</v>
      </c>
      <c r="E736" s="6">
        <v>15800</v>
      </c>
      <c r="F736" s="6">
        <v>83267</v>
      </c>
      <c r="G736" s="17">
        <f>ROUND(Table1[[#This Row],[pledged]]/Table1[[#This Row],[goal]]*100,2)</f>
        <v>527.01</v>
      </c>
      <c r="H736" s="5">
        <f>+Table1[[#This Row],[pledged]]/Table1[[#This Row],[goal]]</f>
        <v>5.2700632911392402</v>
      </c>
      <c r="I736" t="s">
        <v>20</v>
      </c>
      <c r="J736">
        <v>980</v>
      </c>
      <c r="K736" s="8">
        <f>IFERROR(Table1[[#This Row],[pledged]]/Table1[[#This Row],[backers_count]],"NA")</f>
        <v>84.96632653061225</v>
      </c>
      <c r="L736" t="s">
        <v>21</v>
      </c>
      <c r="M736" t="s">
        <v>22</v>
      </c>
      <c r="N736">
        <v>1406178000</v>
      </c>
      <c r="O736">
        <v>1407301200</v>
      </c>
      <c r="P736" s="11">
        <f>+(((Table1[[#This Row],[launched_at]]/60)/60)/24)+DATE(1970,1,1)</f>
        <v>41844.208333333336</v>
      </c>
      <c r="Q736" s="11">
        <f>+(((Table1[[#This Row],[deadline]]/60)/60)/24)+DATE(1970,1,1)</f>
        <v>41857.208333333336</v>
      </c>
      <c r="R736" t="b">
        <v>0</v>
      </c>
      <c r="S736" t="b">
        <v>0</v>
      </c>
      <c r="T736" t="s">
        <v>148</v>
      </c>
      <c r="U736" t="str">
        <f>+LEFT(Table1[[#This Row],[category &amp; sub-category]],FIND("/",Table1[[#This Row],[category &amp; sub-category]])-1)</f>
        <v>music</v>
      </c>
      <c r="V736" t="str">
        <f>+RIGHT(Table1[[#This Row],[category &amp; sub-category]],LEN(Table1[[#This Row],[category &amp; sub-category]])-SEARCH("/",Table1[[#This Row],[category &amp; sub-category]]))</f>
        <v>metal</v>
      </c>
    </row>
    <row r="737" spans="2:22" ht="15.75" customHeight="1" x14ac:dyDescent="0.25">
      <c r="B737">
        <v>734</v>
      </c>
      <c r="C737" t="s">
        <v>1506</v>
      </c>
      <c r="D737" s="3" t="s">
        <v>1507</v>
      </c>
      <c r="E737" s="6">
        <v>4200</v>
      </c>
      <c r="F737" s="6">
        <v>13404</v>
      </c>
      <c r="G737" s="17">
        <f>ROUND(Table1[[#This Row],[pledged]]/Table1[[#This Row],[goal]]*100,2)</f>
        <v>319.14</v>
      </c>
      <c r="H737" s="5">
        <f>+Table1[[#This Row],[pledged]]/Table1[[#This Row],[goal]]</f>
        <v>3.1914285714285713</v>
      </c>
      <c r="I737" t="s">
        <v>20</v>
      </c>
      <c r="J737">
        <v>536</v>
      </c>
      <c r="K737" s="8">
        <f>IFERROR(Table1[[#This Row],[pledged]]/Table1[[#This Row],[backers_count]],"NA")</f>
        <v>25.007462686567163</v>
      </c>
      <c r="L737" t="s">
        <v>21</v>
      </c>
      <c r="M737" t="s">
        <v>22</v>
      </c>
      <c r="N737">
        <v>1485583200</v>
      </c>
      <c r="O737">
        <v>1486620000</v>
      </c>
      <c r="P737" s="11">
        <f>+(((Table1[[#This Row],[launched_at]]/60)/60)/24)+DATE(1970,1,1)</f>
        <v>42763.25</v>
      </c>
      <c r="Q737" s="11">
        <f>+(((Table1[[#This Row],[deadline]]/60)/60)/24)+DATE(1970,1,1)</f>
        <v>42775.25</v>
      </c>
      <c r="R737" t="b">
        <v>0</v>
      </c>
      <c r="S737" t="b">
        <v>1</v>
      </c>
      <c r="T737" t="s">
        <v>33</v>
      </c>
      <c r="U737" t="str">
        <f>+LEFT(Table1[[#This Row],[category &amp; sub-category]],FIND("/",Table1[[#This Row],[category &amp; sub-category]])-1)</f>
        <v>theater</v>
      </c>
      <c r="V737" t="str">
        <f>+RIGHT(Table1[[#This Row],[category &amp; sub-category]],LEN(Table1[[#This Row],[category &amp; sub-category]])-SEARCH("/",Table1[[#This Row],[category &amp; sub-category]]))</f>
        <v>plays</v>
      </c>
    </row>
    <row r="738" spans="2:22" ht="15.75" customHeight="1" x14ac:dyDescent="0.25">
      <c r="B738">
        <v>735</v>
      </c>
      <c r="C738" t="s">
        <v>1508</v>
      </c>
      <c r="D738" s="3" t="s">
        <v>1509</v>
      </c>
      <c r="E738" s="6">
        <v>37100</v>
      </c>
      <c r="F738" s="6">
        <v>131404</v>
      </c>
      <c r="G738" s="17">
        <f>ROUND(Table1[[#This Row],[pledged]]/Table1[[#This Row],[goal]]*100,2)</f>
        <v>354.19</v>
      </c>
      <c r="H738" s="5">
        <f>+Table1[[#This Row],[pledged]]/Table1[[#This Row],[goal]]</f>
        <v>3.5418867924528303</v>
      </c>
      <c r="I738" t="s">
        <v>20</v>
      </c>
      <c r="J738">
        <v>1991</v>
      </c>
      <c r="K738" s="8">
        <f>IFERROR(Table1[[#This Row],[pledged]]/Table1[[#This Row],[backers_count]],"NA")</f>
        <v>65.998995479658461</v>
      </c>
      <c r="L738" t="s">
        <v>21</v>
      </c>
      <c r="M738" t="s">
        <v>22</v>
      </c>
      <c r="N738">
        <v>1459314000</v>
      </c>
      <c r="O738">
        <v>1459918800</v>
      </c>
      <c r="P738" s="11">
        <f>+(((Table1[[#This Row],[launched_at]]/60)/60)/24)+DATE(1970,1,1)</f>
        <v>42459.208333333328</v>
      </c>
      <c r="Q738" s="11">
        <f>+(((Table1[[#This Row],[deadline]]/60)/60)/24)+DATE(1970,1,1)</f>
        <v>42466.208333333328</v>
      </c>
      <c r="R738" t="b">
        <v>0</v>
      </c>
      <c r="S738" t="b">
        <v>0</v>
      </c>
      <c r="T738" t="s">
        <v>122</v>
      </c>
      <c r="U738" t="str">
        <f>+LEFT(Table1[[#This Row],[category &amp; sub-category]],FIND("/",Table1[[#This Row],[category &amp; sub-category]])-1)</f>
        <v>photography</v>
      </c>
      <c r="V738" t="str">
        <f>+RIGHT(Table1[[#This Row],[category &amp; sub-category]],LEN(Table1[[#This Row],[category &amp; sub-category]])-SEARCH("/",Table1[[#This Row],[category &amp; sub-category]]))</f>
        <v>photography books</v>
      </c>
    </row>
    <row r="739" spans="2:22" ht="15.75" customHeight="1" x14ac:dyDescent="0.25">
      <c r="B739">
        <v>736</v>
      </c>
      <c r="C739" t="s">
        <v>1510</v>
      </c>
      <c r="D739" s="3" t="s">
        <v>1511</v>
      </c>
      <c r="E739" s="6">
        <v>7700</v>
      </c>
      <c r="F739" s="6">
        <v>2533</v>
      </c>
      <c r="G739" s="17">
        <f>ROUND(Table1[[#This Row],[pledged]]/Table1[[#This Row],[goal]]*100,2)</f>
        <v>32.9</v>
      </c>
      <c r="H739" s="5">
        <f>+Table1[[#This Row],[pledged]]/Table1[[#This Row],[goal]]</f>
        <v>0.32896103896103895</v>
      </c>
      <c r="I739" t="s">
        <v>74</v>
      </c>
      <c r="J739">
        <v>29</v>
      </c>
      <c r="K739" s="8">
        <f>IFERROR(Table1[[#This Row],[pledged]]/Table1[[#This Row],[backers_count]],"NA")</f>
        <v>87.34482758620689</v>
      </c>
      <c r="L739" t="s">
        <v>21</v>
      </c>
      <c r="M739" t="s">
        <v>22</v>
      </c>
      <c r="N739">
        <v>1424412000</v>
      </c>
      <c r="O739">
        <v>1424757600</v>
      </c>
      <c r="P739" s="11">
        <f>+(((Table1[[#This Row],[launched_at]]/60)/60)/24)+DATE(1970,1,1)</f>
        <v>42055.25</v>
      </c>
      <c r="Q739" s="11">
        <f>+(((Table1[[#This Row],[deadline]]/60)/60)/24)+DATE(1970,1,1)</f>
        <v>42059.25</v>
      </c>
      <c r="R739" t="b">
        <v>0</v>
      </c>
      <c r="S739" t="b">
        <v>0</v>
      </c>
      <c r="T739" t="s">
        <v>68</v>
      </c>
      <c r="U739" t="str">
        <f>+LEFT(Table1[[#This Row],[category &amp; sub-category]],FIND("/",Table1[[#This Row],[category &amp; sub-category]])-1)</f>
        <v>publishing</v>
      </c>
      <c r="V739" t="str">
        <f>+RIGHT(Table1[[#This Row],[category &amp; sub-category]],LEN(Table1[[#This Row],[category &amp; sub-category]])-SEARCH("/",Table1[[#This Row],[category &amp; sub-category]]))</f>
        <v>nonfiction</v>
      </c>
    </row>
    <row r="740" spans="2:22" ht="15.75" customHeight="1" x14ac:dyDescent="0.25">
      <c r="B740">
        <v>737</v>
      </c>
      <c r="C740" t="s">
        <v>1512</v>
      </c>
      <c r="D740" s="3" t="s">
        <v>1513</v>
      </c>
      <c r="E740" s="6">
        <v>3700</v>
      </c>
      <c r="F740" s="6">
        <v>5028</v>
      </c>
      <c r="G740" s="17">
        <f>ROUND(Table1[[#This Row],[pledged]]/Table1[[#This Row],[goal]]*100,2)</f>
        <v>135.88999999999999</v>
      </c>
      <c r="H740" s="5">
        <f>+Table1[[#This Row],[pledged]]/Table1[[#This Row],[goal]]</f>
        <v>1.358918918918919</v>
      </c>
      <c r="I740" t="s">
        <v>20</v>
      </c>
      <c r="J740">
        <v>180</v>
      </c>
      <c r="K740" s="8">
        <f>IFERROR(Table1[[#This Row],[pledged]]/Table1[[#This Row],[backers_count]],"NA")</f>
        <v>27.933333333333334</v>
      </c>
      <c r="L740" t="s">
        <v>21</v>
      </c>
      <c r="M740" t="s">
        <v>22</v>
      </c>
      <c r="N740">
        <v>1478844000</v>
      </c>
      <c r="O740">
        <v>1479880800</v>
      </c>
      <c r="P740" s="11">
        <f>+(((Table1[[#This Row],[launched_at]]/60)/60)/24)+DATE(1970,1,1)</f>
        <v>42685.25</v>
      </c>
      <c r="Q740" s="11">
        <f>+(((Table1[[#This Row],[deadline]]/60)/60)/24)+DATE(1970,1,1)</f>
        <v>42697.25</v>
      </c>
      <c r="R740" t="b">
        <v>0</v>
      </c>
      <c r="S740" t="b">
        <v>0</v>
      </c>
      <c r="T740" t="s">
        <v>60</v>
      </c>
      <c r="U740" t="str">
        <f>+LEFT(Table1[[#This Row],[category &amp; sub-category]],FIND("/",Table1[[#This Row],[category &amp; sub-category]])-1)</f>
        <v>music</v>
      </c>
      <c r="V740" t="str">
        <f>+RIGHT(Table1[[#This Row],[category &amp; sub-category]],LEN(Table1[[#This Row],[category &amp; sub-category]])-SEARCH("/",Table1[[#This Row],[category &amp; sub-category]]))</f>
        <v>indie rock</v>
      </c>
    </row>
    <row r="741" spans="2:22" ht="15.75" customHeight="1" x14ac:dyDescent="0.25">
      <c r="B741">
        <v>738</v>
      </c>
      <c r="C741" t="s">
        <v>1032</v>
      </c>
      <c r="D741" s="3" t="s">
        <v>1514</v>
      </c>
      <c r="E741" s="6">
        <v>74700</v>
      </c>
      <c r="F741" s="6">
        <v>1557</v>
      </c>
      <c r="G741" s="17">
        <f>ROUND(Table1[[#This Row],[pledged]]/Table1[[#This Row],[goal]]*100,2)</f>
        <v>2.08</v>
      </c>
      <c r="H741" s="5">
        <f>+Table1[[#This Row],[pledged]]/Table1[[#This Row],[goal]]</f>
        <v>2.0843373493975904E-2</v>
      </c>
      <c r="I741" t="s">
        <v>14</v>
      </c>
      <c r="J741">
        <v>15</v>
      </c>
      <c r="K741" s="8">
        <f>IFERROR(Table1[[#This Row],[pledged]]/Table1[[#This Row],[backers_count]],"NA")</f>
        <v>103.8</v>
      </c>
      <c r="L741" t="s">
        <v>21</v>
      </c>
      <c r="M741" t="s">
        <v>22</v>
      </c>
      <c r="N741">
        <v>1416117600</v>
      </c>
      <c r="O741">
        <v>1418018400</v>
      </c>
      <c r="P741" s="11">
        <f>+(((Table1[[#This Row],[launched_at]]/60)/60)/24)+DATE(1970,1,1)</f>
        <v>41959.25</v>
      </c>
      <c r="Q741" s="11">
        <f>+(((Table1[[#This Row],[deadline]]/60)/60)/24)+DATE(1970,1,1)</f>
        <v>41981.25</v>
      </c>
      <c r="R741" t="b">
        <v>0</v>
      </c>
      <c r="S741" t="b">
        <v>1</v>
      </c>
      <c r="T741" t="s">
        <v>33</v>
      </c>
      <c r="U741" t="str">
        <f>+LEFT(Table1[[#This Row],[category &amp; sub-category]],FIND("/",Table1[[#This Row],[category &amp; sub-category]])-1)</f>
        <v>theater</v>
      </c>
      <c r="V741" t="str">
        <f>+RIGHT(Table1[[#This Row],[category &amp; sub-category]],LEN(Table1[[#This Row],[category &amp; sub-category]])-SEARCH("/",Table1[[#This Row],[category &amp; sub-category]]))</f>
        <v>plays</v>
      </c>
    </row>
    <row r="742" spans="2:22" ht="15.75" customHeight="1" x14ac:dyDescent="0.25">
      <c r="B742">
        <v>739</v>
      </c>
      <c r="C742" t="s">
        <v>1515</v>
      </c>
      <c r="D742" s="3" t="s">
        <v>1516</v>
      </c>
      <c r="E742" s="6">
        <v>10000</v>
      </c>
      <c r="F742" s="6">
        <v>6100</v>
      </c>
      <c r="G742" s="17">
        <f>ROUND(Table1[[#This Row],[pledged]]/Table1[[#This Row],[goal]]*100,2)</f>
        <v>61</v>
      </c>
      <c r="H742" s="5">
        <f>+Table1[[#This Row],[pledged]]/Table1[[#This Row],[goal]]</f>
        <v>0.61</v>
      </c>
      <c r="I742" t="s">
        <v>14</v>
      </c>
      <c r="J742">
        <v>191</v>
      </c>
      <c r="K742" s="8">
        <f>IFERROR(Table1[[#This Row],[pledged]]/Table1[[#This Row],[backers_count]],"NA")</f>
        <v>31.937172774869111</v>
      </c>
      <c r="L742" t="s">
        <v>21</v>
      </c>
      <c r="M742" t="s">
        <v>22</v>
      </c>
      <c r="N742">
        <v>1340946000</v>
      </c>
      <c r="O742">
        <v>1341032400</v>
      </c>
      <c r="P742" s="11">
        <f>+(((Table1[[#This Row],[launched_at]]/60)/60)/24)+DATE(1970,1,1)</f>
        <v>41089.208333333336</v>
      </c>
      <c r="Q742" s="11">
        <f>+(((Table1[[#This Row],[deadline]]/60)/60)/24)+DATE(1970,1,1)</f>
        <v>41090.208333333336</v>
      </c>
      <c r="R742" t="b">
        <v>0</v>
      </c>
      <c r="S742" t="b">
        <v>0</v>
      </c>
      <c r="T742" t="s">
        <v>60</v>
      </c>
      <c r="U742" t="str">
        <f>+LEFT(Table1[[#This Row],[category &amp; sub-category]],FIND("/",Table1[[#This Row],[category &amp; sub-category]])-1)</f>
        <v>music</v>
      </c>
      <c r="V742" t="str">
        <f>+RIGHT(Table1[[#This Row],[category &amp; sub-category]],LEN(Table1[[#This Row],[category &amp; sub-category]])-SEARCH("/",Table1[[#This Row],[category &amp; sub-category]]))</f>
        <v>indie rock</v>
      </c>
    </row>
    <row r="743" spans="2:22" ht="15.75" customHeight="1" x14ac:dyDescent="0.25">
      <c r="B743">
        <v>740</v>
      </c>
      <c r="C743" t="s">
        <v>1517</v>
      </c>
      <c r="D743" s="3" t="s">
        <v>1518</v>
      </c>
      <c r="E743" s="6">
        <v>5300</v>
      </c>
      <c r="F743" s="6">
        <v>1592</v>
      </c>
      <c r="G743" s="17">
        <f>ROUND(Table1[[#This Row],[pledged]]/Table1[[#This Row],[goal]]*100,2)</f>
        <v>30.04</v>
      </c>
      <c r="H743" s="5">
        <f>+Table1[[#This Row],[pledged]]/Table1[[#This Row],[goal]]</f>
        <v>0.30037735849056602</v>
      </c>
      <c r="I743" t="s">
        <v>14</v>
      </c>
      <c r="J743">
        <v>16</v>
      </c>
      <c r="K743" s="8">
        <f>IFERROR(Table1[[#This Row],[pledged]]/Table1[[#This Row],[backers_count]],"NA")</f>
        <v>99.5</v>
      </c>
      <c r="L743" t="s">
        <v>21</v>
      </c>
      <c r="M743" t="s">
        <v>22</v>
      </c>
      <c r="N743">
        <v>1486101600</v>
      </c>
      <c r="O743">
        <v>1486360800</v>
      </c>
      <c r="P743" s="11">
        <f>+(((Table1[[#This Row],[launched_at]]/60)/60)/24)+DATE(1970,1,1)</f>
        <v>42769.25</v>
      </c>
      <c r="Q743" s="11">
        <f>+(((Table1[[#This Row],[deadline]]/60)/60)/24)+DATE(1970,1,1)</f>
        <v>42772.25</v>
      </c>
      <c r="R743" t="b">
        <v>0</v>
      </c>
      <c r="S743" t="b">
        <v>0</v>
      </c>
      <c r="T743" t="s">
        <v>33</v>
      </c>
      <c r="U743" t="str">
        <f>+LEFT(Table1[[#This Row],[category &amp; sub-category]],FIND("/",Table1[[#This Row],[category &amp; sub-category]])-1)</f>
        <v>theater</v>
      </c>
      <c r="V743" t="str">
        <f>+RIGHT(Table1[[#This Row],[category &amp; sub-category]],LEN(Table1[[#This Row],[category &amp; sub-category]])-SEARCH("/",Table1[[#This Row],[category &amp; sub-category]]))</f>
        <v>plays</v>
      </c>
    </row>
    <row r="744" spans="2:22" ht="15.75" customHeight="1" x14ac:dyDescent="0.25">
      <c r="B744">
        <v>741</v>
      </c>
      <c r="C744" t="s">
        <v>628</v>
      </c>
      <c r="D744" s="3" t="s">
        <v>1519</v>
      </c>
      <c r="E744" s="6">
        <v>1200</v>
      </c>
      <c r="F744" s="6">
        <v>14150</v>
      </c>
      <c r="G744" s="17">
        <f>ROUND(Table1[[#This Row],[pledged]]/Table1[[#This Row],[goal]]*100,2)</f>
        <v>1179.17</v>
      </c>
      <c r="H744" s="5">
        <f>+Table1[[#This Row],[pledged]]/Table1[[#This Row],[goal]]</f>
        <v>11.791666666666666</v>
      </c>
      <c r="I744" t="s">
        <v>20</v>
      </c>
      <c r="J744">
        <v>130</v>
      </c>
      <c r="K744" s="8">
        <f>IFERROR(Table1[[#This Row],[pledged]]/Table1[[#This Row],[backers_count]],"NA")</f>
        <v>108.84615384615384</v>
      </c>
      <c r="L744" t="s">
        <v>21</v>
      </c>
      <c r="M744" t="s">
        <v>22</v>
      </c>
      <c r="N744">
        <v>1274590800</v>
      </c>
      <c r="O744">
        <v>1274677200</v>
      </c>
      <c r="P744" s="11">
        <f>+(((Table1[[#This Row],[launched_at]]/60)/60)/24)+DATE(1970,1,1)</f>
        <v>40321.208333333336</v>
      </c>
      <c r="Q744" s="11">
        <f>+(((Table1[[#This Row],[deadline]]/60)/60)/24)+DATE(1970,1,1)</f>
        <v>40322.208333333336</v>
      </c>
      <c r="R744" t="b">
        <v>0</v>
      </c>
      <c r="S744" t="b">
        <v>0</v>
      </c>
      <c r="T744" t="s">
        <v>33</v>
      </c>
      <c r="U744" t="str">
        <f>+LEFT(Table1[[#This Row],[category &amp; sub-category]],FIND("/",Table1[[#This Row],[category &amp; sub-category]])-1)</f>
        <v>theater</v>
      </c>
      <c r="V744" t="str">
        <f>+RIGHT(Table1[[#This Row],[category &amp; sub-category]],LEN(Table1[[#This Row],[category &amp; sub-category]])-SEARCH("/",Table1[[#This Row],[category &amp; sub-category]]))</f>
        <v>plays</v>
      </c>
    </row>
    <row r="745" spans="2:22" ht="15.75" customHeight="1" x14ac:dyDescent="0.25">
      <c r="B745">
        <v>742</v>
      </c>
      <c r="C745" t="s">
        <v>1520</v>
      </c>
      <c r="D745" s="3" t="s">
        <v>1521</v>
      </c>
      <c r="E745" s="6">
        <v>1200</v>
      </c>
      <c r="F745" s="6">
        <v>13513</v>
      </c>
      <c r="G745" s="17">
        <f>ROUND(Table1[[#This Row],[pledged]]/Table1[[#This Row],[goal]]*100,2)</f>
        <v>1126.08</v>
      </c>
      <c r="H745" s="5">
        <f>+Table1[[#This Row],[pledged]]/Table1[[#This Row],[goal]]</f>
        <v>11.260833333333334</v>
      </c>
      <c r="I745" t="s">
        <v>20</v>
      </c>
      <c r="J745">
        <v>122</v>
      </c>
      <c r="K745" s="8">
        <f>IFERROR(Table1[[#This Row],[pledged]]/Table1[[#This Row],[backers_count]],"NA")</f>
        <v>110.76229508196721</v>
      </c>
      <c r="L745" t="s">
        <v>21</v>
      </c>
      <c r="M745" t="s">
        <v>22</v>
      </c>
      <c r="N745">
        <v>1263880800</v>
      </c>
      <c r="O745">
        <v>1267509600</v>
      </c>
      <c r="P745" s="11">
        <f>+(((Table1[[#This Row],[launched_at]]/60)/60)/24)+DATE(1970,1,1)</f>
        <v>40197.25</v>
      </c>
      <c r="Q745" s="11">
        <f>+(((Table1[[#This Row],[deadline]]/60)/60)/24)+DATE(1970,1,1)</f>
        <v>40239.25</v>
      </c>
      <c r="R745" t="b">
        <v>0</v>
      </c>
      <c r="S745" t="b">
        <v>0</v>
      </c>
      <c r="T745" t="s">
        <v>50</v>
      </c>
      <c r="U745" t="str">
        <f>+LEFT(Table1[[#This Row],[category &amp; sub-category]],FIND("/",Table1[[#This Row],[category &amp; sub-category]])-1)</f>
        <v>music</v>
      </c>
      <c r="V745" t="str">
        <f>+RIGHT(Table1[[#This Row],[category &amp; sub-category]],LEN(Table1[[#This Row],[category &amp; sub-category]])-SEARCH("/",Table1[[#This Row],[category &amp; sub-category]]))</f>
        <v>electric music</v>
      </c>
    </row>
    <row r="746" spans="2:22" ht="15.75" customHeight="1" x14ac:dyDescent="0.25">
      <c r="B746">
        <v>743</v>
      </c>
      <c r="C746" t="s">
        <v>1522</v>
      </c>
      <c r="D746" s="3" t="s">
        <v>1523</v>
      </c>
      <c r="E746" s="6">
        <v>3900</v>
      </c>
      <c r="F746" s="6">
        <v>504</v>
      </c>
      <c r="G746" s="17">
        <f>ROUND(Table1[[#This Row],[pledged]]/Table1[[#This Row],[goal]]*100,2)</f>
        <v>12.92</v>
      </c>
      <c r="H746" s="5">
        <f>+Table1[[#This Row],[pledged]]/Table1[[#This Row],[goal]]</f>
        <v>0.12923076923076923</v>
      </c>
      <c r="I746" t="s">
        <v>14</v>
      </c>
      <c r="J746">
        <v>17</v>
      </c>
      <c r="K746" s="8">
        <f>IFERROR(Table1[[#This Row],[pledged]]/Table1[[#This Row],[backers_count]],"NA")</f>
        <v>29.647058823529413</v>
      </c>
      <c r="L746" t="s">
        <v>21</v>
      </c>
      <c r="M746" t="s">
        <v>22</v>
      </c>
      <c r="N746">
        <v>1445403600</v>
      </c>
      <c r="O746">
        <v>1445922000</v>
      </c>
      <c r="P746" s="11">
        <f>+(((Table1[[#This Row],[launched_at]]/60)/60)/24)+DATE(1970,1,1)</f>
        <v>42298.208333333328</v>
      </c>
      <c r="Q746" s="11">
        <f>+(((Table1[[#This Row],[deadline]]/60)/60)/24)+DATE(1970,1,1)</f>
        <v>42304.208333333328</v>
      </c>
      <c r="R746" t="b">
        <v>0</v>
      </c>
      <c r="S746" t="b">
        <v>1</v>
      </c>
      <c r="T746" t="s">
        <v>33</v>
      </c>
      <c r="U746" t="str">
        <f>+LEFT(Table1[[#This Row],[category &amp; sub-category]],FIND("/",Table1[[#This Row],[category &amp; sub-category]])-1)</f>
        <v>theater</v>
      </c>
      <c r="V746" t="str">
        <f>+RIGHT(Table1[[#This Row],[category &amp; sub-category]],LEN(Table1[[#This Row],[category &amp; sub-category]])-SEARCH("/",Table1[[#This Row],[category &amp; sub-category]]))</f>
        <v>plays</v>
      </c>
    </row>
    <row r="747" spans="2:22" ht="15.75" customHeight="1" x14ac:dyDescent="0.25">
      <c r="B747">
        <v>744</v>
      </c>
      <c r="C747" t="s">
        <v>1524</v>
      </c>
      <c r="D747" s="3" t="s">
        <v>1525</v>
      </c>
      <c r="E747" s="6">
        <v>2000</v>
      </c>
      <c r="F747" s="6">
        <v>14240</v>
      </c>
      <c r="G747" s="17">
        <f>ROUND(Table1[[#This Row],[pledged]]/Table1[[#This Row],[goal]]*100,2)</f>
        <v>712</v>
      </c>
      <c r="H747" s="5">
        <f>+Table1[[#This Row],[pledged]]/Table1[[#This Row],[goal]]</f>
        <v>7.12</v>
      </c>
      <c r="I747" t="s">
        <v>20</v>
      </c>
      <c r="J747">
        <v>140</v>
      </c>
      <c r="K747" s="8">
        <f>IFERROR(Table1[[#This Row],[pledged]]/Table1[[#This Row],[backers_count]],"NA")</f>
        <v>101.71428571428571</v>
      </c>
      <c r="L747" t="s">
        <v>21</v>
      </c>
      <c r="M747" t="s">
        <v>22</v>
      </c>
      <c r="N747">
        <v>1533877200</v>
      </c>
      <c r="O747">
        <v>1534050000</v>
      </c>
      <c r="P747" s="11">
        <f>+(((Table1[[#This Row],[launched_at]]/60)/60)/24)+DATE(1970,1,1)</f>
        <v>43322.208333333328</v>
      </c>
      <c r="Q747" s="11">
        <f>+(((Table1[[#This Row],[deadline]]/60)/60)/24)+DATE(1970,1,1)</f>
        <v>43324.208333333328</v>
      </c>
      <c r="R747" t="b">
        <v>0</v>
      </c>
      <c r="S747" t="b">
        <v>1</v>
      </c>
      <c r="T747" t="s">
        <v>33</v>
      </c>
      <c r="U747" t="str">
        <f>+LEFT(Table1[[#This Row],[category &amp; sub-category]],FIND("/",Table1[[#This Row],[category &amp; sub-category]])-1)</f>
        <v>theater</v>
      </c>
      <c r="V747" t="str">
        <f>+RIGHT(Table1[[#This Row],[category &amp; sub-category]],LEN(Table1[[#This Row],[category &amp; sub-category]])-SEARCH("/",Table1[[#This Row],[category &amp; sub-category]]))</f>
        <v>plays</v>
      </c>
    </row>
    <row r="748" spans="2:22" ht="15.75" customHeight="1" x14ac:dyDescent="0.25">
      <c r="B748">
        <v>745</v>
      </c>
      <c r="C748" t="s">
        <v>1526</v>
      </c>
      <c r="D748" s="3" t="s">
        <v>1527</v>
      </c>
      <c r="E748" s="6">
        <v>6900</v>
      </c>
      <c r="F748" s="6">
        <v>2091</v>
      </c>
      <c r="G748" s="17">
        <f>ROUND(Table1[[#This Row],[pledged]]/Table1[[#This Row],[goal]]*100,2)</f>
        <v>30.3</v>
      </c>
      <c r="H748" s="5">
        <f>+Table1[[#This Row],[pledged]]/Table1[[#This Row],[goal]]</f>
        <v>0.30304347826086958</v>
      </c>
      <c r="I748" t="s">
        <v>14</v>
      </c>
      <c r="J748">
        <v>34</v>
      </c>
      <c r="K748" s="8">
        <f>IFERROR(Table1[[#This Row],[pledged]]/Table1[[#This Row],[backers_count]],"NA")</f>
        <v>61.5</v>
      </c>
      <c r="L748" t="s">
        <v>21</v>
      </c>
      <c r="M748" t="s">
        <v>22</v>
      </c>
      <c r="N748">
        <v>1275195600</v>
      </c>
      <c r="O748">
        <v>1277528400</v>
      </c>
      <c r="P748" s="11">
        <f>+(((Table1[[#This Row],[launched_at]]/60)/60)/24)+DATE(1970,1,1)</f>
        <v>40328.208333333336</v>
      </c>
      <c r="Q748" s="11">
        <f>+(((Table1[[#This Row],[deadline]]/60)/60)/24)+DATE(1970,1,1)</f>
        <v>40355.208333333336</v>
      </c>
      <c r="R748" t="b">
        <v>0</v>
      </c>
      <c r="S748" t="b">
        <v>0</v>
      </c>
      <c r="T748" t="s">
        <v>65</v>
      </c>
      <c r="U748" t="str">
        <f>+LEFT(Table1[[#This Row],[category &amp; sub-category]],FIND("/",Table1[[#This Row],[category &amp; sub-category]])-1)</f>
        <v>technology</v>
      </c>
      <c r="V748" t="str">
        <f>+RIGHT(Table1[[#This Row],[category &amp; sub-category]],LEN(Table1[[#This Row],[category &amp; sub-category]])-SEARCH("/",Table1[[#This Row],[category &amp; sub-category]]))</f>
        <v>wearables</v>
      </c>
    </row>
    <row r="749" spans="2:22" ht="15.75" customHeight="1" x14ac:dyDescent="0.25">
      <c r="B749">
        <v>746</v>
      </c>
      <c r="C749" t="s">
        <v>1528</v>
      </c>
      <c r="D749" s="3" t="s">
        <v>1529</v>
      </c>
      <c r="E749" s="6">
        <v>55800</v>
      </c>
      <c r="F749" s="6">
        <v>118580</v>
      </c>
      <c r="G749" s="17">
        <f>ROUND(Table1[[#This Row],[pledged]]/Table1[[#This Row],[goal]]*100,2)</f>
        <v>212.51</v>
      </c>
      <c r="H749" s="5">
        <f>+Table1[[#This Row],[pledged]]/Table1[[#This Row],[goal]]</f>
        <v>2.1250896057347672</v>
      </c>
      <c r="I749" t="s">
        <v>20</v>
      </c>
      <c r="J749">
        <v>3388</v>
      </c>
      <c r="K749" s="8">
        <f>IFERROR(Table1[[#This Row],[pledged]]/Table1[[#This Row],[backers_count]],"NA")</f>
        <v>35</v>
      </c>
      <c r="L749" t="s">
        <v>21</v>
      </c>
      <c r="M749" t="s">
        <v>22</v>
      </c>
      <c r="N749">
        <v>1318136400</v>
      </c>
      <c r="O749">
        <v>1318568400</v>
      </c>
      <c r="P749" s="11">
        <f>+(((Table1[[#This Row],[launched_at]]/60)/60)/24)+DATE(1970,1,1)</f>
        <v>40825.208333333336</v>
      </c>
      <c r="Q749" s="11">
        <f>+(((Table1[[#This Row],[deadline]]/60)/60)/24)+DATE(1970,1,1)</f>
        <v>40830.208333333336</v>
      </c>
      <c r="R749" t="b">
        <v>0</v>
      </c>
      <c r="S749" t="b">
        <v>0</v>
      </c>
      <c r="T749" t="s">
        <v>28</v>
      </c>
      <c r="U749" t="str">
        <f>+LEFT(Table1[[#This Row],[category &amp; sub-category]],FIND("/",Table1[[#This Row],[category &amp; sub-category]])-1)</f>
        <v>technology</v>
      </c>
      <c r="V749" t="str">
        <f>+RIGHT(Table1[[#This Row],[category &amp; sub-category]],LEN(Table1[[#This Row],[category &amp; sub-category]])-SEARCH("/",Table1[[#This Row],[category &amp; sub-category]]))</f>
        <v>web</v>
      </c>
    </row>
    <row r="750" spans="2:22" ht="15.75" customHeight="1" x14ac:dyDescent="0.25">
      <c r="B750">
        <v>747</v>
      </c>
      <c r="C750" t="s">
        <v>1530</v>
      </c>
      <c r="D750" s="3" t="s">
        <v>1531</v>
      </c>
      <c r="E750" s="6">
        <v>4900</v>
      </c>
      <c r="F750" s="6">
        <v>11214</v>
      </c>
      <c r="G750" s="17">
        <f>ROUND(Table1[[#This Row],[pledged]]/Table1[[#This Row],[goal]]*100,2)</f>
        <v>228.86</v>
      </c>
      <c r="H750" s="5">
        <f>+Table1[[#This Row],[pledged]]/Table1[[#This Row],[goal]]</f>
        <v>2.2885714285714287</v>
      </c>
      <c r="I750" t="s">
        <v>20</v>
      </c>
      <c r="J750">
        <v>280</v>
      </c>
      <c r="K750" s="8">
        <f>IFERROR(Table1[[#This Row],[pledged]]/Table1[[#This Row],[backers_count]],"NA")</f>
        <v>40.049999999999997</v>
      </c>
      <c r="L750" t="s">
        <v>21</v>
      </c>
      <c r="M750" t="s">
        <v>22</v>
      </c>
      <c r="N750">
        <v>1283403600</v>
      </c>
      <c r="O750">
        <v>1284354000</v>
      </c>
      <c r="P750" s="11">
        <f>+(((Table1[[#This Row],[launched_at]]/60)/60)/24)+DATE(1970,1,1)</f>
        <v>40423.208333333336</v>
      </c>
      <c r="Q750" s="11">
        <f>+(((Table1[[#This Row],[deadline]]/60)/60)/24)+DATE(1970,1,1)</f>
        <v>40434.208333333336</v>
      </c>
      <c r="R750" t="b">
        <v>0</v>
      </c>
      <c r="S750" t="b">
        <v>0</v>
      </c>
      <c r="T750" t="s">
        <v>33</v>
      </c>
      <c r="U750" t="str">
        <f>+LEFT(Table1[[#This Row],[category &amp; sub-category]],FIND("/",Table1[[#This Row],[category &amp; sub-category]])-1)</f>
        <v>theater</v>
      </c>
      <c r="V750" t="str">
        <f>+RIGHT(Table1[[#This Row],[category &amp; sub-category]],LEN(Table1[[#This Row],[category &amp; sub-category]])-SEARCH("/",Table1[[#This Row],[category &amp; sub-category]]))</f>
        <v>plays</v>
      </c>
    </row>
    <row r="751" spans="2:22" ht="15.75" customHeight="1" x14ac:dyDescent="0.25">
      <c r="B751">
        <v>748</v>
      </c>
      <c r="C751" t="s">
        <v>1532</v>
      </c>
      <c r="D751" s="3" t="s">
        <v>1533</v>
      </c>
      <c r="E751" s="6">
        <v>194900</v>
      </c>
      <c r="F751" s="6">
        <v>68137</v>
      </c>
      <c r="G751" s="17">
        <f>ROUND(Table1[[#This Row],[pledged]]/Table1[[#This Row],[goal]]*100,2)</f>
        <v>34.96</v>
      </c>
      <c r="H751" s="5">
        <f>+Table1[[#This Row],[pledged]]/Table1[[#This Row],[goal]]</f>
        <v>0.34959979476654696</v>
      </c>
      <c r="I751" t="s">
        <v>74</v>
      </c>
      <c r="J751">
        <v>614</v>
      </c>
      <c r="K751" s="8">
        <f>IFERROR(Table1[[#This Row],[pledged]]/Table1[[#This Row],[backers_count]],"NA")</f>
        <v>110.97231270358306</v>
      </c>
      <c r="L751" t="s">
        <v>21</v>
      </c>
      <c r="M751" t="s">
        <v>22</v>
      </c>
      <c r="N751">
        <v>1267423200</v>
      </c>
      <c r="O751">
        <v>1269579600</v>
      </c>
      <c r="P751" s="11">
        <f>+(((Table1[[#This Row],[launched_at]]/60)/60)/24)+DATE(1970,1,1)</f>
        <v>40238.25</v>
      </c>
      <c r="Q751" s="11">
        <f>+(((Table1[[#This Row],[deadline]]/60)/60)/24)+DATE(1970,1,1)</f>
        <v>40263.208333333336</v>
      </c>
      <c r="R751" t="b">
        <v>0</v>
      </c>
      <c r="S751" t="b">
        <v>1</v>
      </c>
      <c r="T751" t="s">
        <v>71</v>
      </c>
      <c r="U751" t="str">
        <f>+LEFT(Table1[[#This Row],[category &amp; sub-category]],FIND("/",Table1[[#This Row],[category &amp; sub-category]])-1)</f>
        <v>film &amp; video</v>
      </c>
      <c r="V751" t="str">
        <f>+RIGHT(Table1[[#This Row],[category &amp; sub-category]],LEN(Table1[[#This Row],[category &amp; sub-category]])-SEARCH("/",Table1[[#This Row],[category &amp; sub-category]]))</f>
        <v>animation</v>
      </c>
    </row>
    <row r="752" spans="2:22" ht="15.75" customHeight="1" x14ac:dyDescent="0.25">
      <c r="B752">
        <v>749</v>
      </c>
      <c r="C752" t="s">
        <v>1534</v>
      </c>
      <c r="D752" s="3" t="s">
        <v>1535</v>
      </c>
      <c r="E752" s="6">
        <v>8600</v>
      </c>
      <c r="F752" s="6">
        <v>13527</v>
      </c>
      <c r="G752" s="17">
        <f>ROUND(Table1[[#This Row],[pledged]]/Table1[[#This Row],[goal]]*100,2)</f>
        <v>157.29</v>
      </c>
      <c r="H752" s="5">
        <f>+Table1[[#This Row],[pledged]]/Table1[[#This Row],[goal]]</f>
        <v>1.5729069767441861</v>
      </c>
      <c r="I752" t="s">
        <v>20</v>
      </c>
      <c r="J752">
        <v>366</v>
      </c>
      <c r="K752" s="8">
        <f>IFERROR(Table1[[#This Row],[pledged]]/Table1[[#This Row],[backers_count]],"NA")</f>
        <v>36.959016393442624</v>
      </c>
      <c r="L752" t="s">
        <v>107</v>
      </c>
      <c r="M752" t="s">
        <v>108</v>
      </c>
      <c r="N752">
        <v>1412744400</v>
      </c>
      <c r="O752">
        <v>1413781200</v>
      </c>
      <c r="P752" s="11">
        <f>+(((Table1[[#This Row],[launched_at]]/60)/60)/24)+DATE(1970,1,1)</f>
        <v>41920.208333333336</v>
      </c>
      <c r="Q752" s="11">
        <f>+(((Table1[[#This Row],[deadline]]/60)/60)/24)+DATE(1970,1,1)</f>
        <v>41932.208333333336</v>
      </c>
      <c r="R752" t="b">
        <v>0</v>
      </c>
      <c r="S752" t="b">
        <v>1</v>
      </c>
      <c r="T752" t="s">
        <v>65</v>
      </c>
      <c r="U752" t="str">
        <f>+LEFT(Table1[[#This Row],[category &amp; sub-category]],FIND("/",Table1[[#This Row],[category &amp; sub-category]])-1)</f>
        <v>technology</v>
      </c>
      <c r="V752" t="str">
        <f>+RIGHT(Table1[[#This Row],[category &amp; sub-category]],LEN(Table1[[#This Row],[category &amp; sub-category]])-SEARCH("/",Table1[[#This Row],[category &amp; sub-category]]))</f>
        <v>wearables</v>
      </c>
    </row>
    <row r="753" spans="2:22" ht="15.75" customHeight="1" x14ac:dyDescent="0.25">
      <c r="B753">
        <v>750</v>
      </c>
      <c r="C753" t="s">
        <v>1536</v>
      </c>
      <c r="D753" s="3" t="s">
        <v>1537</v>
      </c>
      <c r="E753" s="6">
        <v>100</v>
      </c>
      <c r="F753" s="6">
        <v>1</v>
      </c>
      <c r="G753" s="17">
        <f>ROUND(Table1[[#This Row],[pledged]]/Table1[[#This Row],[goal]]*100,2)</f>
        <v>1</v>
      </c>
      <c r="H753" s="5">
        <f>+Table1[[#This Row],[pledged]]/Table1[[#This Row],[goal]]</f>
        <v>0.01</v>
      </c>
      <c r="I753" t="s">
        <v>14</v>
      </c>
      <c r="J753">
        <v>1</v>
      </c>
      <c r="K753" s="8">
        <f>IFERROR(Table1[[#This Row],[pledged]]/Table1[[#This Row],[backers_count]],"NA")</f>
        <v>1</v>
      </c>
      <c r="L753" t="s">
        <v>40</v>
      </c>
      <c r="M753" t="s">
        <v>41</v>
      </c>
      <c r="N753">
        <v>1277960400</v>
      </c>
      <c r="O753">
        <v>1280120400</v>
      </c>
      <c r="P753" s="11">
        <f>+(((Table1[[#This Row],[launched_at]]/60)/60)/24)+DATE(1970,1,1)</f>
        <v>40360.208333333336</v>
      </c>
      <c r="Q753" s="11">
        <f>+(((Table1[[#This Row],[deadline]]/60)/60)/24)+DATE(1970,1,1)</f>
        <v>40385.208333333336</v>
      </c>
      <c r="R753" t="b">
        <v>0</v>
      </c>
      <c r="S753" t="b">
        <v>0</v>
      </c>
      <c r="T753" t="s">
        <v>50</v>
      </c>
      <c r="U753" t="str">
        <f>+LEFT(Table1[[#This Row],[category &amp; sub-category]],FIND("/",Table1[[#This Row],[category &amp; sub-category]])-1)</f>
        <v>music</v>
      </c>
      <c r="V753" t="str">
        <f>+RIGHT(Table1[[#This Row],[category &amp; sub-category]],LEN(Table1[[#This Row],[category &amp; sub-category]])-SEARCH("/",Table1[[#This Row],[category &amp; sub-category]]))</f>
        <v>electric music</v>
      </c>
    </row>
    <row r="754" spans="2:22" ht="15.75" customHeight="1" x14ac:dyDescent="0.25">
      <c r="B754">
        <v>751</v>
      </c>
      <c r="C754" t="s">
        <v>1538</v>
      </c>
      <c r="D754" s="3" t="s">
        <v>1539</v>
      </c>
      <c r="E754" s="6">
        <v>3600</v>
      </c>
      <c r="F754" s="6">
        <v>8363</v>
      </c>
      <c r="G754" s="17">
        <f>ROUND(Table1[[#This Row],[pledged]]/Table1[[#This Row],[goal]]*100,2)</f>
        <v>232.31</v>
      </c>
      <c r="H754" s="5">
        <f>+Table1[[#This Row],[pledged]]/Table1[[#This Row],[goal]]</f>
        <v>2.3230555555555554</v>
      </c>
      <c r="I754" t="s">
        <v>20</v>
      </c>
      <c r="J754">
        <v>270</v>
      </c>
      <c r="K754" s="8">
        <f>IFERROR(Table1[[#This Row],[pledged]]/Table1[[#This Row],[backers_count]],"NA")</f>
        <v>30.974074074074075</v>
      </c>
      <c r="L754" t="s">
        <v>21</v>
      </c>
      <c r="M754" t="s">
        <v>22</v>
      </c>
      <c r="N754">
        <v>1458190800</v>
      </c>
      <c r="O754">
        <v>1459486800</v>
      </c>
      <c r="P754" s="11">
        <f>+(((Table1[[#This Row],[launched_at]]/60)/60)/24)+DATE(1970,1,1)</f>
        <v>42446.208333333328</v>
      </c>
      <c r="Q754" s="11">
        <f>+(((Table1[[#This Row],[deadline]]/60)/60)/24)+DATE(1970,1,1)</f>
        <v>42461.208333333328</v>
      </c>
      <c r="R754" t="b">
        <v>1</v>
      </c>
      <c r="S754" t="b">
        <v>1</v>
      </c>
      <c r="T754" t="s">
        <v>68</v>
      </c>
      <c r="U754" t="str">
        <f>+LEFT(Table1[[#This Row],[category &amp; sub-category]],FIND("/",Table1[[#This Row],[category &amp; sub-category]])-1)</f>
        <v>publishing</v>
      </c>
      <c r="V754" t="str">
        <f>+RIGHT(Table1[[#This Row],[category &amp; sub-category]],LEN(Table1[[#This Row],[category &amp; sub-category]])-SEARCH("/",Table1[[#This Row],[category &amp; sub-category]]))</f>
        <v>nonfiction</v>
      </c>
    </row>
    <row r="755" spans="2:22" ht="15.75" customHeight="1" x14ac:dyDescent="0.25">
      <c r="B755">
        <v>752</v>
      </c>
      <c r="C755" t="s">
        <v>1540</v>
      </c>
      <c r="D755" s="3" t="s">
        <v>1541</v>
      </c>
      <c r="E755" s="6">
        <v>5800</v>
      </c>
      <c r="F755" s="6">
        <v>5362</v>
      </c>
      <c r="G755" s="17">
        <f>ROUND(Table1[[#This Row],[pledged]]/Table1[[#This Row],[goal]]*100,2)</f>
        <v>92.45</v>
      </c>
      <c r="H755" s="5">
        <f>+Table1[[#This Row],[pledged]]/Table1[[#This Row],[goal]]</f>
        <v>0.92448275862068963</v>
      </c>
      <c r="I755" t="s">
        <v>74</v>
      </c>
      <c r="J755">
        <v>114</v>
      </c>
      <c r="K755" s="8">
        <f>IFERROR(Table1[[#This Row],[pledged]]/Table1[[#This Row],[backers_count]],"NA")</f>
        <v>47.035087719298247</v>
      </c>
      <c r="L755" t="s">
        <v>21</v>
      </c>
      <c r="M755" t="s">
        <v>22</v>
      </c>
      <c r="N755">
        <v>1280984400</v>
      </c>
      <c r="O755">
        <v>1282539600</v>
      </c>
      <c r="P755" s="11">
        <f>+(((Table1[[#This Row],[launched_at]]/60)/60)/24)+DATE(1970,1,1)</f>
        <v>40395.208333333336</v>
      </c>
      <c r="Q755" s="11">
        <f>+(((Table1[[#This Row],[deadline]]/60)/60)/24)+DATE(1970,1,1)</f>
        <v>40413.208333333336</v>
      </c>
      <c r="R755" t="b">
        <v>0</v>
      </c>
      <c r="S755" t="b">
        <v>1</v>
      </c>
      <c r="T755" t="s">
        <v>33</v>
      </c>
      <c r="U755" t="str">
        <f>+LEFT(Table1[[#This Row],[category &amp; sub-category]],FIND("/",Table1[[#This Row],[category &amp; sub-category]])-1)</f>
        <v>theater</v>
      </c>
      <c r="V755" t="str">
        <f>+RIGHT(Table1[[#This Row],[category &amp; sub-category]],LEN(Table1[[#This Row],[category &amp; sub-category]])-SEARCH("/",Table1[[#This Row],[category &amp; sub-category]]))</f>
        <v>plays</v>
      </c>
    </row>
    <row r="756" spans="2:22" ht="15.75" customHeight="1" x14ac:dyDescent="0.25">
      <c r="B756">
        <v>753</v>
      </c>
      <c r="C756" t="s">
        <v>1542</v>
      </c>
      <c r="D756" s="3" t="s">
        <v>1543</v>
      </c>
      <c r="E756" s="6">
        <v>4700</v>
      </c>
      <c r="F756" s="6">
        <v>12065</v>
      </c>
      <c r="G756" s="17">
        <f>ROUND(Table1[[#This Row],[pledged]]/Table1[[#This Row],[goal]]*100,2)</f>
        <v>256.7</v>
      </c>
      <c r="H756" s="5">
        <f>+Table1[[#This Row],[pledged]]/Table1[[#This Row],[goal]]</f>
        <v>2.5670212765957445</v>
      </c>
      <c r="I756" t="s">
        <v>20</v>
      </c>
      <c r="J756">
        <v>137</v>
      </c>
      <c r="K756" s="8">
        <f>IFERROR(Table1[[#This Row],[pledged]]/Table1[[#This Row],[backers_count]],"NA")</f>
        <v>88.065693430656935</v>
      </c>
      <c r="L756" t="s">
        <v>21</v>
      </c>
      <c r="M756" t="s">
        <v>22</v>
      </c>
      <c r="N756">
        <v>1274590800</v>
      </c>
      <c r="O756">
        <v>1275886800</v>
      </c>
      <c r="P756" s="11">
        <f>+(((Table1[[#This Row],[launched_at]]/60)/60)/24)+DATE(1970,1,1)</f>
        <v>40321.208333333336</v>
      </c>
      <c r="Q756" s="11">
        <f>+(((Table1[[#This Row],[deadline]]/60)/60)/24)+DATE(1970,1,1)</f>
        <v>40336.208333333336</v>
      </c>
      <c r="R756" t="b">
        <v>0</v>
      </c>
      <c r="S756" t="b">
        <v>0</v>
      </c>
      <c r="T756" t="s">
        <v>122</v>
      </c>
      <c r="U756" t="str">
        <f>+LEFT(Table1[[#This Row],[category &amp; sub-category]],FIND("/",Table1[[#This Row],[category &amp; sub-category]])-1)</f>
        <v>photography</v>
      </c>
      <c r="V756" t="str">
        <f>+RIGHT(Table1[[#This Row],[category &amp; sub-category]],LEN(Table1[[#This Row],[category &amp; sub-category]])-SEARCH("/",Table1[[#This Row],[category &amp; sub-category]]))</f>
        <v>photography books</v>
      </c>
    </row>
    <row r="757" spans="2:22" ht="15.75" customHeight="1" x14ac:dyDescent="0.25">
      <c r="B757">
        <v>754</v>
      </c>
      <c r="C757" t="s">
        <v>1544</v>
      </c>
      <c r="D757" s="3" t="s">
        <v>1545</v>
      </c>
      <c r="E757" s="6">
        <v>70400</v>
      </c>
      <c r="F757" s="6">
        <v>118603</v>
      </c>
      <c r="G757" s="17">
        <f>ROUND(Table1[[#This Row],[pledged]]/Table1[[#This Row],[goal]]*100,2)</f>
        <v>168.47</v>
      </c>
      <c r="H757" s="5">
        <f>+Table1[[#This Row],[pledged]]/Table1[[#This Row],[goal]]</f>
        <v>1.6847017045454546</v>
      </c>
      <c r="I757" t="s">
        <v>20</v>
      </c>
      <c r="J757">
        <v>3205</v>
      </c>
      <c r="K757" s="8">
        <f>IFERROR(Table1[[#This Row],[pledged]]/Table1[[#This Row],[backers_count]],"NA")</f>
        <v>37.005616224648989</v>
      </c>
      <c r="L757" t="s">
        <v>21</v>
      </c>
      <c r="M757" t="s">
        <v>22</v>
      </c>
      <c r="N757">
        <v>1351400400</v>
      </c>
      <c r="O757">
        <v>1355983200</v>
      </c>
      <c r="P757" s="11">
        <f>+(((Table1[[#This Row],[launched_at]]/60)/60)/24)+DATE(1970,1,1)</f>
        <v>41210.208333333336</v>
      </c>
      <c r="Q757" s="11">
        <f>+(((Table1[[#This Row],[deadline]]/60)/60)/24)+DATE(1970,1,1)</f>
        <v>41263.25</v>
      </c>
      <c r="R757" t="b">
        <v>0</v>
      </c>
      <c r="S757" t="b">
        <v>0</v>
      </c>
      <c r="T757" t="s">
        <v>33</v>
      </c>
      <c r="U757" t="str">
        <f>+LEFT(Table1[[#This Row],[category &amp; sub-category]],FIND("/",Table1[[#This Row],[category &amp; sub-category]])-1)</f>
        <v>theater</v>
      </c>
      <c r="V757" t="str">
        <f>+RIGHT(Table1[[#This Row],[category &amp; sub-category]],LEN(Table1[[#This Row],[category &amp; sub-category]])-SEARCH("/",Table1[[#This Row],[category &amp; sub-category]]))</f>
        <v>plays</v>
      </c>
    </row>
    <row r="758" spans="2:22" ht="15.75" customHeight="1" x14ac:dyDescent="0.25">
      <c r="B758">
        <v>755</v>
      </c>
      <c r="C758" t="s">
        <v>1546</v>
      </c>
      <c r="D758" s="3" t="s">
        <v>1547</v>
      </c>
      <c r="E758" s="6">
        <v>4500</v>
      </c>
      <c r="F758" s="6">
        <v>7496</v>
      </c>
      <c r="G758" s="17">
        <f>ROUND(Table1[[#This Row],[pledged]]/Table1[[#This Row],[goal]]*100,2)</f>
        <v>166.58</v>
      </c>
      <c r="H758" s="5">
        <f>+Table1[[#This Row],[pledged]]/Table1[[#This Row],[goal]]</f>
        <v>1.6657777777777778</v>
      </c>
      <c r="I758" t="s">
        <v>20</v>
      </c>
      <c r="J758">
        <v>288</v>
      </c>
      <c r="K758" s="8">
        <f>IFERROR(Table1[[#This Row],[pledged]]/Table1[[#This Row],[backers_count]],"NA")</f>
        <v>26.027777777777779</v>
      </c>
      <c r="L758" t="s">
        <v>36</v>
      </c>
      <c r="M758" t="s">
        <v>37</v>
      </c>
      <c r="N758">
        <v>1514354400</v>
      </c>
      <c r="O758">
        <v>1515391200</v>
      </c>
      <c r="P758" s="11">
        <f>+(((Table1[[#This Row],[launched_at]]/60)/60)/24)+DATE(1970,1,1)</f>
        <v>43096.25</v>
      </c>
      <c r="Q758" s="11">
        <f>+(((Table1[[#This Row],[deadline]]/60)/60)/24)+DATE(1970,1,1)</f>
        <v>43108.25</v>
      </c>
      <c r="R758" t="b">
        <v>0</v>
      </c>
      <c r="S758" t="b">
        <v>1</v>
      </c>
      <c r="T758" t="s">
        <v>33</v>
      </c>
      <c r="U758" t="str">
        <f>+LEFT(Table1[[#This Row],[category &amp; sub-category]],FIND("/",Table1[[#This Row],[category &amp; sub-category]])-1)</f>
        <v>theater</v>
      </c>
      <c r="V758" t="str">
        <f>+RIGHT(Table1[[#This Row],[category &amp; sub-category]],LEN(Table1[[#This Row],[category &amp; sub-category]])-SEARCH("/",Table1[[#This Row],[category &amp; sub-category]]))</f>
        <v>plays</v>
      </c>
    </row>
    <row r="759" spans="2:22" ht="15.75" customHeight="1" x14ac:dyDescent="0.25">
      <c r="B759">
        <v>756</v>
      </c>
      <c r="C759" t="s">
        <v>1548</v>
      </c>
      <c r="D759" s="3" t="s">
        <v>1549</v>
      </c>
      <c r="E759" s="6">
        <v>1300</v>
      </c>
      <c r="F759" s="6">
        <v>10037</v>
      </c>
      <c r="G759" s="17">
        <f>ROUND(Table1[[#This Row],[pledged]]/Table1[[#This Row],[goal]]*100,2)</f>
        <v>772.08</v>
      </c>
      <c r="H759" s="5">
        <f>+Table1[[#This Row],[pledged]]/Table1[[#This Row],[goal]]</f>
        <v>7.7207692307692311</v>
      </c>
      <c r="I759" t="s">
        <v>20</v>
      </c>
      <c r="J759">
        <v>148</v>
      </c>
      <c r="K759" s="8">
        <f>IFERROR(Table1[[#This Row],[pledged]]/Table1[[#This Row],[backers_count]],"NA")</f>
        <v>67.817567567567565</v>
      </c>
      <c r="L759" t="s">
        <v>21</v>
      </c>
      <c r="M759" t="s">
        <v>22</v>
      </c>
      <c r="N759">
        <v>1421733600</v>
      </c>
      <c r="O759">
        <v>1422252000</v>
      </c>
      <c r="P759" s="11">
        <f>+(((Table1[[#This Row],[launched_at]]/60)/60)/24)+DATE(1970,1,1)</f>
        <v>42024.25</v>
      </c>
      <c r="Q759" s="11">
        <f>+(((Table1[[#This Row],[deadline]]/60)/60)/24)+DATE(1970,1,1)</f>
        <v>42030.25</v>
      </c>
      <c r="R759" t="b">
        <v>0</v>
      </c>
      <c r="S759" t="b">
        <v>0</v>
      </c>
      <c r="T759" t="s">
        <v>33</v>
      </c>
      <c r="U759" t="str">
        <f>+LEFT(Table1[[#This Row],[category &amp; sub-category]],FIND("/",Table1[[#This Row],[category &amp; sub-category]])-1)</f>
        <v>theater</v>
      </c>
      <c r="V759" t="str">
        <f>+RIGHT(Table1[[#This Row],[category &amp; sub-category]],LEN(Table1[[#This Row],[category &amp; sub-category]])-SEARCH("/",Table1[[#This Row],[category &amp; sub-category]]))</f>
        <v>plays</v>
      </c>
    </row>
    <row r="760" spans="2:22" ht="15.75" customHeight="1" x14ac:dyDescent="0.25">
      <c r="B760">
        <v>757</v>
      </c>
      <c r="C760" t="s">
        <v>1550</v>
      </c>
      <c r="D760" s="3" t="s">
        <v>1551</v>
      </c>
      <c r="E760" s="6">
        <v>1400</v>
      </c>
      <c r="F760" s="6">
        <v>5696</v>
      </c>
      <c r="G760" s="17">
        <f>ROUND(Table1[[#This Row],[pledged]]/Table1[[#This Row],[goal]]*100,2)</f>
        <v>406.86</v>
      </c>
      <c r="H760" s="5">
        <f>+Table1[[#This Row],[pledged]]/Table1[[#This Row],[goal]]</f>
        <v>4.0685714285714285</v>
      </c>
      <c r="I760" t="s">
        <v>20</v>
      </c>
      <c r="J760">
        <v>114</v>
      </c>
      <c r="K760" s="8">
        <f>IFERROR(Table1[[#This Row],[pledged]]/Table1[[#This Row],[backers_count]],"NA")</f>
        <v>49.964912280701753</v>
      </c>
      <c r="L760" t="s">
        <v>21</v>
      </c>
      <c r="M760" t="s">
        <v>22</v>
      </c>
      <c r="N760">
        <v>1305176400</v>
      </c>
      <c r="O760">
        <v>1305522000</v>
      </c>
      <c r="P760" s="11">
        <f>+(((Table1[[#This Row],[launched_at]]/60)/60)/24)+DATE(1970,1,1)</f>
        <v>40675.208333333336</v>
      </c>
      <c r="Q760" s="11">
        <f>+(((Table1[[#This Row],[deadline]]/60)/60)/24)+DATE(1970,1,1)</f>
        <v>40679.208333333336</v>
      </c>
      <c r="R760" t="b">
        <v>0</v>
      </c>
      <c r="S760" t="b">
        <v>0</v>
      </c>
      <c r="T760" t="s">
        <v>53</v>
      </c>
      <c r="U760" t="str">
        <f>+LEFT(Table1[[#This Row],[category &amp; sub-category]],FIND("/",Table1[[#This Row],[category &amp; sub-category]])-1)</f>
        <v>film &amp; video</v>
      </c>
      <c r="V760" t="str">
        <f>+RIGHT(Table1[[#This Row],[category &amp; sub-category]],LEN(Table1[[#This Row],[category &amp; sub-category]])-SEARCH("/",Table1[[#This Row],[category &amp; sub-category]]))</f>
        <v>drama</v>
      </c>
    </row>
    <row r="761" spans="2:22" ht="15.75" customHeight="1" x14ac:dyDescent="0.25">
      <c r="B761">
        <v>758</v>
      </c>
      <c r="C761" t="s">
        <v>1552</v>
      </c>
      <c r="D761" s="3" t="s">
        <v>1553</v>
      </c>
      <c r="E761" s="6">
        <v>29600</v>
      </c>
      <c r="F761" s="6">
        <v>167005</v>
      </c>
      <c r="G761" s="17">
        <f>ROUND(Table1[[#This Row],[pledged]]/Table1[[#This Row],[goal]]*100,2)</f>
        <v>564.21</v>
      </c>
      <c r="H761" s="5">
        <f>+Table1[[#This Row],[pledged]]/Table1[[#This Row],[goal]]</f>
        <v>5.6420608108108112</v>
      </c>
      <c r="I761" t="s">
        <v>20</v>
      </c>
      <c r="J761">
        <v>1518</v>
      </c>
      <c r="K761" s="8">
        <f>IFERROR(Table1[[#This Row],[pledged]]/Table1[[#This Row],[backers_count]],"NA")</f>
        <v>110.01646903820817</v>
      </c>
      <c r="L761" t="s">
        <v>15</v>
      </c>
      <c r="M761" t="s">
        <v>16</v>
      </c>
      <c r="N761">
        <v>1414126800</v>
      </c>
      <c r="O761">
        <v>1414904400</v>
      </c>
      <c r="P761" s="11">
        <f>+(((Table1[[#This Row],[launched_at]]/60)/60)/24)+DATE(1970,1,1)</f>
        <v>41936.208333333336</v>
      </c>
      <c r="Q761" s="11">
        <f>+(((Table1[[#This Row],[deadline]]/60)/60)/24)+DATE(1970,1,1)</f>
        <v>41945.208333333336</v>
      </c>
      <c r="R761" t="b">
        <v>0</v>
      </c>
      <c r="S761" t="b">
        <v>0</v>
      </c>
      <c r="T761" t="s">
        <v>23</v>
      </c>
      <c r="U761" t="str">
        <f>+LEFT(Table1[[#This Row],[category &amp; sub-category]],FIND("/",Table1[[#This Row],[category &amp; sub-category]])-1)</f>
        <v>music</v>
      </c>
      <c r="V761" t="str">
        <f>+RIGHT(Table1[[#This Row],[category &amp; sub-category]],LEN(Table1[[#This Row],[category &amp; sub-category]])-SEARCH("/",Table1[[#This Row],[category &amp; sub-category]]))</f>
        <v>rock</v>
      </c>
    </row>
    <row r="762" spans="2:22" ht="15.75" customHeight="1" x14ac:dyDescent="0.25">
      <c r="B762">
        <v>759</v>
      </c>
      <c r="C762" t="s">
        <v>1554</v>
      </c>
      <c r="D762" s="3" t="s">
        <v>1555</v>
      </c>
      <c r="E762" s="6">
        <v>167500</v>
      </c>
      <c r="F762" s="6">
        <v>114615</v>
      </c>
      <c r="G762" s="17">
        <f>ROUND(Table1[[#This Row],[pledged]]/Table1[[#This Row],[goal]]*100,2)</f>
        <v>68.430000000000007</v>
      </c>
      <c r="H762" s="5">
        <f>+Table1[[#This Row],[pledged]]/Table1[[#This Row],[goal]]</f>
        <v>0.6842686567164179</v>
      </c>
      <c r="I762" t="s">
        <v>14</v>
      </c>
      <c r="J762">
        <v>1274</v>
      </c>
      <c r="K762" s="8">
        <f>IFERROR(Table1[[#This Row],[pledged]]/Table1[[#This Row],[backers_count]],"NA")</f>
        <v>89.964678178963894</v>
      </c>
      <c r="L762" t="s">
        <v>21</v>
      </c>
      <c r="M762" t="s">
        <v>22</v>
      </c>
      <c r="N762">
        <v>1517810400</v>
      </c>
      <c r="O762">
        <v>1520402400</v>
      </c>
      <c r="P762" s="11">
        <f>+(((Table1[[#This Row],[launched_at]]/60)/60)/24)+DATE(1970,1,1)</f>
        <v>43136.25</v>
      </c>
      <c r="Q762" s="11">
        <f>+(((Table1[[#This Row],[deadline]]/60)/60)/24)+DATE(1970,1,1)</f>
        <v>43166.25</v>
      </c>
      <c r="R762" t="b">
        <v>0</v>
      </c>
      <c r="S762" t="b">
        <v>0</v>
      </c>
      <c r="T762" t="s">
        <v>50</v>
      </c>
      <c r="U762" t="str">
        <f>+LEFT(Table1[[#This Row],[category &amp; sub-category]],FIND("/",Table1[[#This Row],[category &amp; sub-category]])-1)</f>
        <v>music</v>
      </c>
      <c r="V762" t="str">
        <f>+RIGHT(Table1[[#This Row],[category &amp; sub-category]],LEN(Table1[[#This Row],[category &amp; sub-category]])-SEARCH("/",Table1[[#This Row],[category &amp; sub-category]]))</f>
        <v>electric music</v>
      </c>
    </row>
    <row r="763" spans="2:22" ht="15.75" customHeight="1" x14ac:dyDescent="0.25">
      <c r="B763">
        <v>760</v>
      </c>
      <c r="C763" t="s">
        <v>1556</v>
      </c>
      <c r="D763" s="3" t="s">
        <v>1557</v>
      </c>
      <c r="E763" s="6">
        <v>48300</v>
      </c>
      <c r="F763" s="6">
        <v>16592</v>
      </c>
      <c r="G763" s="17">
        <f>ROUND(Table1[[#This Row],[pledged]]/Table1[[#This Row],[goal]]*100,2)</f>
        <v>34.35</v>
      </c>
      <c r="H763" s="5">
        <f>+Table1[[#This Row],[pledged]]/Table1[[#This Row],[goal]]</f>
        <v>0.34351966873706002</v>
      </c>
      <c r="I763" t="s">
        <v>14</v>
      </c>
      <c r="J763">
        <v>210</v>
      </c>
      <c r="K763" s="8">
        <f>IFERROR(Table1[[#This Row],[pledged]]/Table1[[#This Row],[backers_count]],"NA")</f>
        <v>79.009523809523813</v>
      </c>
      <c r="L763" t="s">
        <v>107</v>
      </c>
      <c r="M763" t="s">
        <v>108</v>
      </c>
      <c r="N763">
        <v>1564635600</v>
      </c>
      <c r="O763">
        <v>1567141200</v>
      </c>
      <c r="P763" s="11">
        <f>+(((Table1[[#This Row],[launched_at]]/60)/60)/24)+DATE(1970,1,1)</f>
        <v>43678.208333333328</v>
      </c>
      <c r="Q763" s="11">
        <f>+(((Table1[[#This Row],[deadline]]/60)/60)/24)+DATE(1970,1,1)</f>
        <v>43707.208333333328</v>
      </c>
      <c r="R763" t="b">
        <v>0</v>
      </c>
      <c r="S763" t="b">
        <v>1</v>
      </c>
      <c r="T763" t="s">
        <v>89</v>
      </c>
      <c r="U763" t="str">
        <f>+LEFT(Table1[[#This Row],[category &amp; sub-category]],FIND("/",Table1[[#This Row],[category &amp; sub-category]])-1)</f>
        <v>games</v>
      </c>
      <c r="V763" t="str">
        <f>+RIGHT(Table1[[#This Row],[category &amp; sub-category]],LEN(Table1[[#This Row],[category &amp; sub-category]])-SEARCH("/",Table1[[#This Row],[category &amp; sub-category]]))</f>
        <v>video games</v>
      </c>
    </row>
    <row r="764" spans="2:22" ht="15.75" customHeight="1" x14ac:dyDescent="0.25">
      <c r="B764">
        <v>761</v>
      </c>
      <c r="C764" t="s">
        <v>1558</v>
      </c>
      <c r="D764" s="3" t="s">
        <v>1559</v>
      </c>
      <c r="E764" s="6">
        <v>2200</v>
      </c>
      <c r="F764" s="6">
        <v>14420</v>
      </c>
      <c r="G764" s="17">
        <f>ROUND(Table1[[#This Row],[pledged]]/Table1[[#This Row],[goal]]*100,2)</f>
        <v>655.45</v>
      </c>
      <c r="H764" s="5">
        <f>+Table1[[#This Row],[pledged]]/Table1[[#This Row],[goal]]</f>
        <v>6.5545454545454547</v>
      </c>
      <c r="I764" t="s">
        <v>20</v>
      </c>
      <c r="J764">
        <v>166</v>
      </c>
      <c r="K764" s="8">
        <f>IFERROR(Table1[[#This Row],[pledged]]/Table1[[#This Row],[backers_count]],"NA")</f>
        <v>86.867469879518069</v>
      </c>
      <c r="L764" t="s">
        <v>21</v>
      </c>
      <c r="M764" t="s">
        <v>22</v>
      </c>
      <c r="N764">
        <v>1500699600</v>
      </c>
      <c r="O764">
        <v>1501131600</v>
      </c>
      <c r="P764" s="11">
        <f>+(((Table1[[#This Row],[launched_at]]/60)/60)/24)+DATE(1970,1,1)</f>
        <v>42938.208333333328</v>
      </c>
      <c r="Q764" s="11">
        <f>+(((Table1[[#This Row],[deadline]]/60)/60)/24)+DATE(1970,1,1)</f>
        <v>42943.208333333328</v>
      </c>
      <c r="R764" t="b">
        <v>0</v>
      </c>
      <c r="S764" t="b">
        <v>0</v>
      </c>
      <c r="T764" t="s">
        <v>23</v>
      </c>
      <c r="U764" t="str">
        <f>+LEFT(Table1[[#This Row],[category &amp; sub-category]],FIND("/",Table1[[#This Row],[category &amp; sub-category]])-1)</f>
        <v>music</v>
      </c>
      <c r="V764" t="str">
        <f>+RIGHT(Table1[[#This Row],[category &amp; sub-category]],LEN(Table1[[#This Row],[category &amp; sub-category]])-SEARCH("/",Table1[[#This Row],[category &amp; sub-category]]))</f>
        <v>rock</v>
      </c>
    </row>
    <row r="765" spans="2:22" ht="15.75" customHeight="1" x14ac:dyDescent="0.25">
      <c r="B765">
        <v>762</v>
      </c>
      <c r="C765" t="s">
        <v>668</v>
      </c>
      <c r="D765" s="3" t="s">
        <v>1560</v>
      </c>
      <c r="E765" s="6">
        <v>3500</v>
      </c>
      <c r="F765" s="6">
        <v>6204</v>
      </c>
      <c r="G765" s="17">
        <f>ROUND(Table1[[#This Row],[pledged]]/Table1[[#This Row],[goal]]*100,2)</f>
        <v>177.26</v>
      </c>
      <c r="H765" s="5">
        <f>+Table1[[#This Row],[pledged]]/Table1[[#This Row],[goal]]</f>
        <v>1.7725714285714285</v>
      </c>
      <c r="I765" t="s">
        <v>20</v>
      </c>
      <c r="J765">
        <v>100</v>
      </c>
      <c r="K765" s="8">
        <f>IFERROR(Table1[[#This Row],[pledged]]/Table1[[#This Row],[backers_count]],"NA")</f>
        <v>62.04</v>
      </c>
      <c r="L765" t="s">
        <v>26</v>
      </c>
      <c r="M765" t="s">
        <v>27</v>
      </c>
      <c r="N765">
        <v>1354082400</v>
      </c>
      <c r="O765">
        <v>1355032800</v>
      </c>
      <c r="P765" s="11">
        <f>+(((Table1[[#This Row],[launched_at]]/60)/60)/24)+DATE(1970,1,1)</f>
        <v>41241.25</v>
      </c>
      <c r="Q765" s="11">
        <f>+(((Table1[[#This Row],[deadline]]/60)/60)/24)+DATE(1970,1,1)</f>
        <v>41252.25</v>
      </c>
      <c r="R765" t="b">
        <v>0</v>
      </c>
      <c r="S765" t="b">
        <v>0</v>
      </c>
      <c r="T765" t="s">
        <v>159</v>
      </c>
      <c r="U765" t="str">
        <f>+LEFT(Table1[[#This Row],[category &amp; sub-category]],FIND("/",Table1[[#This Row],[category &amp; sub-category]])-1)</f>
        <v>music</v>
      </c>
      <c r="V765" t="str">
        <f>+RIGHT(Table1[[#This Row],[category &amp; sub-category]],LEN(Table1[[#This Row],[category &amp; sub-category]])-SEARCH("/",Table1[[#This Row],[category &amp; sub-category]]))</f>
        <v>jazz</v>
      </c>
    </row>
    <row r="766" spans="2:22" ht="15.75" customHeight="1" x14ac:dyDescent="0.25">
      <c r="B766">
        <v>763</v>
      </c>
      <c r="C766" t="s">
        <v>1561</v>
      </c>
      <c r="D766" s="3" t="s">
        <v>1562</v>
      </c>
      <c r="E766" s="6">
        <v>5600</v>
      </c>
      <c r="F766" s="6">
        <v>6338</v>
      </c>
      <c r="G766" s="17">
        <f>ROUND(Table1[[#This Row],[pledged]]/Table1[[#This Row],[goal]]*100,2)</f>
        <v>113.18</v>
      </c>
      <c r="H766" s="5">
        <f>+Table1[[#This Row],[pledged]]/Table1[[#This Row],[goal]]</f>
        <v>1.1317857142857144</v>
      </c>
      <c r="I766" t="s">
        <v>20</v>
      </c>
      <c r="J766">
        <v>235</v>
      </c>
      <c r="K766" s="8">
        <f>IFERROR(Table1[[#This Row],[pledged]]/Table1[[#This Row],[backers_count]],"NA")</f>
        <v>26.970212765957445</v>
      </c>
      <c r="L766" t="s">
        <v>21</v>
      </c>
      <c r="M766" t="s">
        <v>22</v>
      </c>
      <c r="N766">
        <v>1336453200</v>
      </c>
      <c r="O766">
        <v>1339477200</v>
      </c>
      <c r="P766" s="11">
        <f>+(((Table1[[#This Row],[launched_at]]/60)/60)/24)+DATE(1970,1,1)</f>
        <v>41037.208333333336</v>
      </c>
      <c r="Q766" s="11">
        <f>+(((Table1[[#This Row],[deadline]]/60)/60)/24)+DATE(1970,1,1)</f>
        <v>41072.208333333336</v>
      </c>
      <c r="R766" t="b">
        <v>0</v>
      </c>
      <c r="S766" t="b">
        <v>1</v>
      </c>
      <c r="T766" t="s">
        <v>33</v>
      </c>
      <c r="U766" t="str">
        <f>+LEFT(Table1[[#This Row],[category &amp; sub-category]],FIND("/",Table1[[#This Row],[category &amp; sub-category]])-1)</f>
        <v>theater</v>
      </c>
      <c r="V766" t="str">
        <f>+RIGHT(Table1[[#This Row],[category &amp; sub-category]],LEN(Table1[[#This Row],[category &amp; sub-category]])-SEARCH("/",Table1[[#This Row],[category &amp; sub-category]]))</f>
        <v>plays</v>
      </c>
    </row>
    <row r="767" spans="2:22" ht="15.75" customHeight="1" x14ac:dyDescent="0.25">
      <c r="B767">
        <v>764</v>
      </c>
      <c r="C767" t="s">
        <v>1563</v>
      </c>
      <c r="D767" s="3" t="s">
        <v>1564</v>
      </c>
      <c r="E767" s="6">
        <v>1100</v>
      </c>
      <c r="F767" s="6">
        <v>8010</v>
      </c>
      <c r="G767" s="17">
        <f>ROUND(Table1[[#This Row],[pledged]]/Table1[[#This Row],[goal]]*100,2)</f>
        <v>728.18</v>
      </c>
      <c r="H767" s="5">
        <f>+Table1[[#This Row],[pledged]]/Table1[[#This Row],[goal]]</f>
        <v>7.2818181818181822</v>
      </c>
      <c r="I767" t="s">
        <v>20</v>
      </c>
      <c r="J767">
        <v>148</v>
      </c>
      <c r="K767" s="8">
        <f>IFERROR(Table1[[#This Row],[pledged]]/Table1[[#This Row],[backers_count]],"NA")</f>
        <v>54.121621621621621</v>
      </c>
      <c r="L767" t="s">
        <v>21</v>
      </c>
      <c r="M767" t="s">
        <v>22</v>
      </c>
      <c r="N767">
        <v>1305262800</v>
      </c>
      <c r="O767">
        <v>1305954000</v>
      </c>
      <c r="P767" s="11">
        <f>+(((Table1[[#This Row],[launched_at]]/60)/60)/24)+DATE(1970,1,1)</f>
        <v>40676.208333333336</v>
      </c>
      <c r="Q767" s="11">
        <f>+(((Table1[[#This Row],[deadline]]/60)/60)/24)+DATE(1970,1,1)</f>
        <v>40684.208333333336</v>
      </c>
      <c r="R767" t="b">
        <v>0</v>
      </c>
      <c r="S767" t="b">
        <v>0</v>
      </c>
      <c r="T767" t="s">
        <v>23</v>
      </c>
      <c r="U767" t="str">
        <f>+LEFT(Table1[[#This Row],[category &amp; sub-category]],FIND("/",Table1[[#This Row],[category &amp; sub-category]])-1)</f>
        <v>music</v>
      </c>
      <c r="V767" t="str">
        <f>+RIGHT(Table1[[#This Row],[category &amp; sub-category]],LEN(Table1[[#This Row],[category &amp; sub-category]])-SEARCH("/",Table1[[#This Row],[category &amp; sub-category]]))</f>
        <v>rock</v>
      </c>
    </row>
    <row r="768" spans="2:22" ht="15.75" customHeight="1" x14ac:dyDescent="0.25">
      <c r="B768">
        <v>765</v>
      </c>
      <c r="C768" t="s">
        <v>1565</v>
      </c>
      <c r="D768" s="3" t="s">
        <v>1566</v>
      </c>
      <c r="E768" s="6">
        <v>3900</v>
      </c>
      <c r="F768" s="6">
        <v>8125</v>
      </c>
      <c r="G768" s="17">
        <f>ROUND(Table1[[#This Row],[pledged]]/Table1[[#This Row],[goal]]*100,2)</f>
        <v>208.33</v>
      </c>
      <c r="H768" s="5">
        <f>+Table1[[#This Row],[pledged]]/Table1[[#This Row],[goal]]</f>
        <v>2.0833333333333335</v>
      </c>
      <c r="I768" t="s">
        <v>20</v>
      </c>
      <c r="J768">
        <v>198</v>
      </c>
      <c r="K768" s="8">
        <f>IFERROR(Table1[[#This Row],[pledged]]/Table1[[#This Row],[backers_count]],"NA")</f>
        <v>41.035353535353536</v>
      </c>
      <c r="L768" t="s">
        <v>21</v>
      </c>
      <c r="M768" t="s">
        <v>22</v>
      </c>
      <c r="N768">
        <v>1492232400</v>
      </c>
      <c r="O768">
        <v>1494392400</v>
      </c>
      <c r="P768" s="11">
        <f>+(((Table1[[#This Row],[launched_at]]/60)/60)/24)+DATE(1970,1,1)</f>
        <v>42840.208333333328</v>
      </c>
      <c r="Q768" s="11">
        <f>+(((Table1[[#This Row],[deadline]]/60)/60)/24)+DATE(1970,1,1)</f>
        <v>42865.208333333328</v>
      </c>
      <c r="R768" t="b">
        <v>1</v>
      </c>
      <c r="S768" t="b">
        <v>1</v>
      </c>
      <c r="T768" t="s">
        <v>60</v>
      </c>
      <c r="U768" t="str">
        <f>+LEFT(Table1[[#This Row],[category &amp; sub-category]],FIND("/",Table1[[#This Row],[category &amp; sub-category]])-1)</f>
        <v>music</v>
      </c>
      <c r="V768" t="str">
        <f>+RIGHT(Table1[[#This Row],[category &amp; sub-category]],LEN(Table1[[#This Row],[category &amp; sub-category]])-SEARCH("/",Table1[[#This Row],[category &amp; sub-category]]))</f>
        <v>indie rock</v>
      </c>
    </row>
    <row r="769" spans="2:22" ht="15.75" customHeight="1" x14ac:dyDescent="0.25">
      <c r="B769">
        <v>766</v>
      </c>
      <c r="C769" t="s">
        <v>1567</v>
      </c>
      <c r="D769" s="3" t="s">
        <v>1568</v>
      </c>
      <c r="E769" s="6">
        <v>43800</v>
      </c>
      <c r="F769" s="6">
        <v>13653</v>
      </c>
      <c r="G769" s="17">
        <f>ROUND(Table1[[#This Row],[pledged]]/Table1[[#This Row],[goal]]*100,2)</f>
        <v>31.17</v>
      </c>
      <c r="H769" s="5">
        <f>+Table1[[#This Row],[pledged]]/Table1[[#This Row],[goal]]</f>
        <v>0.31171232876712329</v>
      </c>
      <c r="I769" t="s">
        <v>14</v>
      </c>
      <c r="J769">
        <v>248</v>
      </c>
      <c r="K769" s="8">
        <f>IFERROR(Table1[[#This Row],[pledged]]/Table1[[#This Row],[backers_count]],"NA")</f>
        <v>55.052419354838712</v>
      </c>
      <c r="L769" t="s">
        <v>26</v>
      </c>
      <c r="M769" t="s">
        <v>27</v>
      </c>
      <c r="N769">
        <v>1537333200</v>
      </c>
      <c r="O769">
        <v>1537419600</v>
      </c>
      <c r="P769" s="11">
        <f>+(((Table1[[#This Row],[launched_at]]/60)/60)/24)+DATE(1970,1,1)</f>
        <v>43362.208333333328</v>
      </c>
      <c r="Q769" s="11">
        <f>+(((Table1[[#This Row],[deadline]]/60)/60)/24)+DATE(1970,1,1)</f>
        <v>43363.208333333328</v>
      </c>
      <c r="R769" t="b">
        <v>0</v>
      </c>
      <c r="S769" t="b">
        <v>0</v>
      </c>
      <c r="T769" t="s">
        <v>474</v>
      </c>
      <c r="U769" t="str">
        <f>+LEFT(Table1[[#This Row],[category &amp; sub-category]],FIND("/",Table1[[#This Row],[category &amp; sub-category]])-1)</f>
        <v>film &amp; video</v>
      </c>
      <c r="V769" t="str">
        <f>+RIGHT(Table1[[#This Row],[category &amp; sub-category]],LEN(Table1[[#This Row],[category &amp; sub-category]])-SEARCH("/",Table1[[#This Row],[category &amp; sub-category]]))</f>
        <v>science fiction</v>
      </c>
    </row>
    <row r="770" spans="2:22" ht="15.75" customHeight="1" x14ac:dyDescent="0.25">
      <c r="B770">
        <v>767</v>
      </c>
      <c r="C770" t="s">
        <v>1569</v>
      </c>
      <c r="D770" s="3" t="s">
        <v>1570</v>
      </c>
      <c r="E770" s="6">
        <v>97200</v>
      </c>
      <c r="F770" s="6">
        <v>55372</v>
      </c>
      <c r="G770" s="17">
        <f>ROUND(Table1[[#This Row],[pledged]]/Table1[[#This Row],[goal]]*100,2)</f>
        <v>56.97</v>
      </c>
      <c r="H770" s="5">
        <f>+Table1[[#This Row],[pledged]]/Table1[[#This Row],[goal]]</f>
        <v>0.56967078189300413</v>
      </c>
      <c r="I770" t="s">
        <v>14</v>
      </c>
      <c r="J770">
        <v>513</v>
      </c>
      <c r="K770" s="8">
        <f>IFERROR(Table1[[#This Row],[pledged]]/Table1[[#This Row],[backers_count]],"NA")</f>
        <v>107.93762183235867</v>
      </c>
      <c r="L770" t="s">
        <v>21</v>
      </c>
      <c r="M770" t="s">
        <v>22</v>
      </c>
      <c r="N770">
        <v>1444107600</v>
      </c>
      <c r="O770">
        <v>1447999200</v>
      </c>
      <c r="P770" s="11">
        <f>+(((Table1[[#This Row],[launched_at]]/60)/60)/24)+DATE(1970,1,1)</f>
        <v>42283.208333333328</v>
      </c>
      <c r="Q770" s="11">
        <f>+(((Table1[[#This Row],[deadline]]/60)/60)/24)+DATE(1970,1,1)</f>
        <v>42328.25</v>
      </c>
      <c r="R770" t="b">
        <v>0</v>
      </c>
      <c r="S770" t="b">
        <v>0</v>
      </c>
      <c r="T770" t="s">
        <v>206</v>
      </c>
      <c r="U770" t="str">
        <f>+LEFT(Table1[[#This Row],[category &amp; sub-category]],FIND("/",Table1[[#This Row],[category &amp; sub-category]])-1)</f>
        <v>publishing</v>
      </c>
      <c r="V770" t="str">
        <f>+RIGHT(Table1[[#This Row],[category &amp; sub-category]],LEN(Table1[[#This Row],[category &amp; sub-category]])-SEARCH("/",Table1[[#This Row],[category &amp; sub-category]]))</f>
        <v>translations</v>
      </c>
    </row>
    <row r="771" spans="2:22" ht="15.75" customHeight="1" x14ac:dyDescent="0.25">
      <c r="B771">
        <v>768</v>
      </c>
      <c r="C771" t="s">
        <v>1571</v>
      </c>
      <c r="D771" s="3" t="s">
        <v>1572</v>
      </c>
      <c r="E771" s="6">
        <v>4800</v>
      </c>
      <c r="F771" s="6">
        <v>11088</v>
      </c>
      <c r="G771" s="17">
        <f>ROUND(Table1[[#This Row],[pledged]]/Table1[[#This Row],[goal]]*100,2)</f>
        <v>231</v>
      </c>
      <c r="H771" s="5">
        <f>+Table1[[#This Row],[pledged]]/Table1[[#This Row],[goal]]</f>
        <v>2.31</v>
      </c>
      <c r="I771" t="s">
        <v>20</v>
      </c>
      <c r="J771">
        <v>150</v>
      </c>
      <c r="K771" s="8">
        <f>IFERROR(Table1[[#This Row],[pledged]]/Table1[[#This Row],[backers_count]],"NA")</f>
        <v>73.92</v>
      </c>
      <c r="L771" t="s">
        <v>21</v>
      </c>
      <c r="M771" t="s">
        <v>22</v>
      </c>
      <c r="N771">
        <v>1386741600</v>
      </c>
      <c r="O771">
        <v>1388037600</v>
      </c>
      <c r="P771" s="11">
        <f>+(((Table1[[#This Row],[launched_at]]/60)/60)/24)+DATE(1970,1,1)</f>
        <v>41619.25</v>
      </c>
      <c r="Q771" s="11">
        <f>+(((Table1[[#This Row],[deadline]]/60)/60)/24)+DATE(1970,1,1)</f>
        <v>41634.25</v>
      </c>
      <c r="R771" t="b">
        <v>0</v>
      </c>
      <c r="S771" t="b">
        <v>0</v>
      </c>
      <c r="T771" t="s">
        <v>33</v>
      </c>
      <c r="U771" t="str">
        <f>+LEFT(Table1[[#This Row],[category &amp; sub-category]],FIND("/",Table1[[#This Row],[category &amp; sub-category]])-1)</f>
        <v>theater</v>
      </c>
      <c r="V771" t="str">
        <f>+RIGHT(Table1[[#This Row],[category &amp; sub-category]],LEN(Table1[[#This Row],[category &amp; sub-category]])-SEARCH("/",Table1[[#This Row],[category &amp; sub-category]]))</f>
        <v>plays</v>
      </c>
    </row>
    <row r="772" spans="2:22" ht="15.75" customHeight="1" x14ac:dyDescent="0.25">
      <c r="B772">
        <v>769</v>
      </c>
      <c r="C772" t="s">
        <v>1573</v>
      </c>
      <c r="D772" s="3" t="s">
        <v>1574</v>
      </c>
      <c r="E772" s="6">
        <v>125600</v>
      </c>
      <c r="F772" s="6">
        <v>109106</v>
      </c>
      <c r="G772" s="17">
        <f>ROUND(Table1[[#This Row],[pledged]]/Table1[[#This Row],[goal]]*100,2)</f>
        <v>86.87</v>
      </c>
      <c r="H772" s="5">
        <f>+Table1[[#This Row],[pledged]]/Table1[[#This Row],[goal]]</f>
        <v>0.86867834394904464</v>
      </c>
      <c r="I772" t="s">
        <v>14</v>
      </c>
      <c r="J772">
        <v>3410</v>
      </c>
      <c r="K772" s="8">
        <f>IFERROR(Table1[[#This Row],[pledged]]/Table1[[#This Row],[backers_count]],"NA")</f>
        <v>31.995894428152493</v>
      </c>
      <c r="L772" t="s">
        <v>21</v>
      </c>
      <c r="M772" t="s">
        <v>22</v>
      </c>
      <c r="N772">
        <v>1376542800</v>
      </c>
      <c r="O772">
        <v>1378789200</v>
      </c>
      <c r="P772" s="11">
        <f>+(((Table1[[#This Row],[launched_at]]/60)/60)/24)+DATE(1970,1,1)</f>
        <v>41501.208333333336</v>
      </c>
      <c r="Q772" s="11">
        <f>+(((Table1[[#This Row],[deadline]]/60)/60)/24)+DATE(1970,1,1)</f>
        <v>41527.208333333336</v>
      </c>
      <c r="R772" t="b">
        <v>0</v>
      </c>
      <c r="S772" t="b">
        <v>0</v>
      </c>
      <c r="T772" t="s">
        <v>89</v>
      </c>
      <c r="U772" t="str">
        <f>+LEFT(Table1[[#This Row],[category &amp; sub-category]],FIND("/",Table1[[#This Row],[category &amp; sub-category]])-1)</f>
        <v>games</v>
      </c>
      <c r="V772" t="str">
        <f>+RIGHT(Table1[[#This Row],[category &amp; sub-category]],LEN(Table1[[#This Row],[category &amp; sub-category]])-SEARCH("/",Table1[[#This Row],[category &amp; sub-category]]))</f>
        <v>video games</v>
      </c>
    </row>
    <row r="773" spans="2:22" ht="15.75" customHeight="1" x14ac:dyDescent="0.25">
      <c r="B773">
        <v>770</v>
      </c>
      <c r="C773" t="s">
        <v>1575</v>
      </c>
      <c r="D773" s="3" t="s">
        <v>1576</v>
      </c>
      <c r="E773" s="6">
        <v>4300</v>
      </c>
      <c r="F773" s="6">
        <v>11642</v>
      </c>
      <c r="G773" s="17">
        <f>ROUND(Table1[[#This Row],[pledged]]/Table1[[#This Row],[goal]]*100,2)</f>
        <v>270.74</v>
      </c>
      <c r="H773" s="5">
        <f>+Table1[[#This Row],[pledged]]/Table1[[#This Row],[goal]]</f>
        <v>2.7074418604651163</v>
      </c>
      <c r="I773" t="s">
        <v>20</v>
      </c>
      <c r="J773">
        <v>216</v>
      </c>
      <c r="K773" s="8">
        <f>IFERROR(Table1[[#This Row],[pledged]]/Table1[[#This Row],[backers_count]],"NA")</f>
        <v>53.898148148148145</v>
      </c>
      <c r="L773" t="s">
        <v>107</v>
      </c>
      <c r="M773" t="s">
        <v>108</v>
      </c>
      <c r="N773">
        <v>1397451600</v>
      </c>
      <c r="O773">
        <v>1398056400</v>
      </c>
      <c r="P773" s="11">
        <f>+(((Table1[[#This Row],[launched_at]]/60)/60)/24)+DATE(1970,1,1)</f>
        <v>41743.208333333336</v>
      </c>
      <c r="Q773" s="11">
        <f>+(((Table1[[#This Row],[deadline]]/60)/60)/24)+DATE(1970,1,1)</f>
        <v>41750.208333333336</v>
      </c>
      <c r="R773" t="b">
        <v>0</v>
      </c>
      <c r="S773" t="b">
        <v>1</v>
      </c>
      <c r="T773" t="s">
        <v>33</v>
      </c>
      <c r="U773" t="str">
        <f>+LEFT(Table1[[#This Row],[category &amp; sub-category]],FIND("/",Table1[[#This Row],[category &amp; sub-category]])-1)</f>
        <v>theater</v>
      </c>
      <c r="V773" t="str">
        <f>+RIGHT(Table1[[#This Row],[category &amp; sub-category]],LEN(Table1[[#This Row],[category &amp; sub-category]])-SEARCH("/",Table1[[#This Row],[category &amp; sub-category]]))</f>
        <v>plays</v>
      </c>
    </row>
    <row r="774" spans="2:22" ht="15.75" customHeight="1" x14ac:dyDescent="0.25">
      <c r="B774">
        <v>771</v>
      </c>
      <c r="C774" t="s">
        <v>1577</v>
      </c>
      <c r="D774" s="3" t="s">
        <v>1578</v>
      </c>
      <c r="E774" s="6">
        <v>5600</v>
      </c>
      <c r="F774" s="6">
        <v>2769</v>
      </c>
      <c r="G774" s="17">
        <f>ROUND(Table1[[#This Row],[pledged]]/Table1[[#This Row],[goal]]*100,2)</f>
        <v>49.45</v>
      </c>
      <c r="H774" s="5">
        <f>+Table1[[#This Row],[pledged]]/Table1[[#This Row],[goal]]</f>
        <v>0.49446428571428569</v>
      </c>
      <c r="I774" t="s">
        <v>74</v>
      </c>
      <c r="J774">
        <v>26</v>
      </c>
      <c r="K774" s="8">
        <f>IFERROR(Table1[[#This Row],[pledged]]/Table1[[#This Row],[backers_count]],"NA")</f>
        <v>106.5</v>
      </c>
      <c r="L774" t="s">
        <v>21</v>
      </c>
      <c r="M774" t="s">
        <v>22</v>
      </c>
      <c r="N774">
        <v>1548482400</v>
      </c>
      <c r="O774">
        <v>1550815200</v>
      </c>
      <c r="P774" s="11">
        <f>+(((Table1[[#This Row],[launched_at]]/60)/60)/24)+DATE(1970,1,1)</f>
        <v>43491.25</v>
      </c>
      <c r="Q774" s="11">
        <f>+(((Table1[[#This Row],[deadline]]/60)/60)/24)+DATE(1970,1,1)</f>
        <v>43518.25</v>
      </c>
      <c r="R774" t="b">
        <v>0</v>
      </c>
      <c r="S774" t="b">
        <v>0</v>
      </c>
      <c r="T774" t="s">
        <v>33</v>
      </c>
      <c r="U774" t="str">
        <f>+LEFT(Table1[[#This Row],[category &amp; sub-category]],FIND("/",Table1[[#This Row],[category &amp; sub-category]])-1)</f>
        <v>theater</v>
      </c>
      <c r="V774" t="str">
        <f>+RIGHT(Table1[[#This Row],[category &amp; sub-category]],LEN(Table1[[#This Row],[category &amp; sub-category]])-SEARCH("/",Table1[[#This Row],[category &amp; sub-category]]))</f>
        <v>plays</v>
      </c>
    </row>
    <row r="775" spans="2:22" ht="15.75" customHeight="1" x14ac:dyDescent="0.25">
      <c r="B775">
        <v>772</v>
      </c>
      <c r="C775" t="s">
        <v>1579</v>
      </c>
      <c r="D775" s="3" t="s">
        <v>1580</v>
      </c>
      <c r="E775" s="6">
        <v>149600</v>
      </c>
      <c r="F775" s="6">
        <v>169586</v>
      </c>
      <c r="G775" s="17">
        <f>ROUND(Table1[[#This Row],[pledged]]/Table1[[#This Row],[goal]]*100,2)</f>
        <v>113.36</v>
      </c>
      <c r="H775" s="5">
        <f>+Table1[[#This Row],[pledged]]/Table1[[#This Row],[goal]]</f>
        <v>1.1335962566844919</v>
      </c>
      <c r="I775" t="s">
        <v>20</v>
      </c>
      <c r="J775">
        <v>5139</v>
      </c>
      <c r="K775" s="8">
        <f>IFERROR(Table1[[#This Row],[pledged]]/Table1[[#This Row],[backers_count]],"NA")</f>
        <v>32.999805409612762</v>
      </c>
      <c r="L775" t="s">
        <v>21</v>
      </c>
      <c r="M775" t="s">
        <v>22</v>
      </c>
      <c r="N775">
        <v>1549692000</v>
      </c>
      <c r="O775">
        <v>1550037600</v>
      </c>
      <c r="P775" s="11">
        <f>+(((Table1[[#This Row],[launched_at]]/60)/60)/24)+DATE(1970,1,1)</f>
        <v>43505.25</v>
      </c>
      <c r="Q775" s="11">
        <f>+(((Table1[[#This Row],[deadline]]/60)/60)/24)+DATE(1970,1,1)</f>
        <v>43509.25</v>
      </c>
      <c r="R775" t="b">
        <v>0</v>
      </c>
      <c r="S775" t="b">
        <v>0</v>
      </c>
      <c r="T775" t="s">
        <v>60</v>
      </c>
      <c r="U775" t="str">
        <f>+LEFT(Table1[[#This Row],[category &amp; sub-category]],FIND("/",Table1[[#This Row],[category &amp; sub-category]])-1)</f>
        <v>music</v>
      </c>
      <c r="V775" t="str">
        <f>+RIGHT(Table1[[#This Row],[category &amp; sub-category]],LEN(Table1[[#This Row],[category &amp; sub-category]])-SEARCH("/",Table1[[#This Row],[category &amp; sub-category]]))</f>
        <v>indie rock</v>
      </c>
    </row>
    <row r="776" spans="2:22" ht="15.75" customHeight="1" x14ac:dyDescent="0.25">
      <c r="B776">
        <v>773</v>
      </c>
      <c r="C776" t="s">
        <v>1581</v>
      </c>
      <c r="D776" s="3" t="s">
        <v>1582</v>
      </c>
      <c r="E776" s="6">
        <v>53100</v>
      </c>
      <c r="F776" s="6">
        <v>101185</v>
      </c>
      <c r="G776" s="17">
        <f>ROUND(Table1[[#This Row],[pledged]]/Table1[[#This Row],[goal]]*100,2)</f>
        <v>190.56</v>
      </c>
      <c r="H776" s="5">
        <f>+Table1[[#This Row],[pledged]]/Table1[[#This Row],[goal]]</f>
        <v>1.9055555555555554</v>
      </c>
      <c r="I776" t="s">
        <v>20</v>
      </c>
      <c r="J776">
        <v>2353</v>
      </c>
      <c r="K776" s="8">
        <f>IFERROR(Table1[[#This Row],[pledged]]/Table1[[#This Row],[backers_count]],"NA")</f>
        <v>43.00254993625159</v>
      </c>
      <c r="L776" t="s">
        <v>21</v>
      </c>
      <c r="M776" t="s">
        <v>22</v>
      </c>
      <c r="N776">
        <v>1492059600</v>
      </c>
      <c r="O776">
        <v>1492923600</v>
      </c>
      <c r="P776" s="11">
        <f>+(((Table1[[#This Row],[launched_at]]/60)/60)/24)+DATE(1970,1,1)</f>
        <v>42838.208333333328</v>
      </c>
      <c r="Q776" s="11">
        <f>+(((Table1[[#This Row],[deadline]]/60)/60)/24)+DATE(1970,1,1)</f>
        <v>42848.208333333328</v>
      </c>
      <c r="R776" t="b">
        <v>0</v>
      </c>
      <c r="S776" t="b">
        <v>0</v>
      </c>
      <c r="T776" t="s">
        <v>33</v>
      </c>
      <c r="U776" t="str">
        <f>+LEFT(Table1[[#This Row],[category &amp; sub-category]],FIND("/",Table1[[#This Row],[category &amp; sub-category]])-1)</f>
        <v>theater</v>
      </c>
      <c r="V776" t="str">
        <f>+RIGHT(Table1[[#This Row],[category &amp; sub-category]],LEN(Table1[[#This Row],[category &amp; sub-category]])-SEARCH("/",Table1[[#This Row],[category &amp; sub-category]]))</f>
        <v>plays</v>
      </c>
    </row>
    <row r="777" spans="2:22" ht="15.75" customHeight="1" x14ac:dyDescent="0.25">
      <c r="B777">
        <v>774</v>
      </c>
      <c r="C777" t="s">
        <v>1583</v>
      </c>
      <c r="D777" s="3" t="s">
        <v>1584</v>
      </c>
      <c r="E777" s="6">
        <v>5000</v>
      </c>
      <c r="F777" s="6">
        <v>6775</v>
      </c>
      <c r="G777" s="17">
        <f>ROUND(Table1[[#This Row],[pledged]]/Table1[[#This Row],[goal]]*100,2)</f>
        <v>135.5</v>
      </c>
      <c r="H777" s="5">
        <f>+Table1[[#This Row],[pledged]]/Table1[[#This Row],[goal]]</f>
        <v>1.355</v>
      </c>
      <c r="I777" t="s">
        <v>20</v>
      </c>
      <c r="J777">
        <v>78</v>
      </c>
      <c r="K777" s="8">
        <f>IFERROR(Table1[[#This Row],[pledged]]/Table1[[#This Row],[backers_count]],"NA")</f>
        <v>86.858974358974365</v>
      </c>
      <c r="L777" t="s">
        <v>107</v>
      </c>
      <c r="M777" t="s">
        <v>108</v>
      </c>
      <c r="N777">
        <v>1463979600</v>
      </c>
      <c r="O777">
        <v>1467522000</v>
      </c>
      <c r="P777" s="11">
        <f>+(((Table1[[#This Row],[launched_at]]/60)/60)/24)+DATE(1970,1,1)</f>
        <v>42513.208333333328</v>
      </c>
      <c r="Q777" s="11">
        <f>+(((Table1[[#This Row],[deadline]]/60)/60)/24)+DATE(1970,1,1)</f>
        <v>42554.208333333328</v>
      </c>
      <c r="R777" t="b">
        <v>0</v>
      </c>
      <c r="S777" t="b">
        <v>0</v>
      </c>
      <c r="T777" t="s">
        <v>28</v>
      </c>
      <c r="U777" t="str">
        <f>+LEFT(Table1[[#This Row],[category &amp; sub-category]],FIND("/",Table1[[#This Row],[category &amp; sub-category]])-1)</f>
        <v>technology</v>
      </c>
      <c r="V777" t="str">
        <f>+RIGHT(Table1[[#This Row],[category &amp; sub-category]],LEN(Table1[[#This Row],[category &amp; sub-category]])-SEARCH("/",Table1[[#This Row],[category &amp; sub-category]]))</f>
        <v>web</v>
      </c>
    </row>
    <row r="778" spans="2:22" ht="15.75" customHeight="1" x14ac:dyDescent="0.25">
      <c r="B778">
        <v>775</v>
      </c>
      <c r="C778" t="s">
        <v>1585</v>
      </c>
      <c r="D778" s="3" t="s">
        <v>1586</v>
      </c>
      <c r="E778" s="6">
        <v>9400</v>
      </c>
      <c r="F778" s="6">
        <v>968</v>
      </c>
      <c r="G778" s="17">
        <f>ROUND(Table1[[#This Row],[pledged]]/Table1[[#This Row],[goal]]*100,2)</f>
        <v>10.3</v>
      </c>
      <c r="H778" s="5">
        <f>+Table1[[#This Row],[pledged]]/Table1[[#This Row],[goal]]</f>
        <v>0.10297872340425532</v>
      </c>
      <c r="I778" t="s">
        <v>14</v>
      </c>
      <c r="J778">
        <v>10</v>
      </c>
      <c r="K778" s="8">
        <f>IFERROR(Table1[[#This Row],[pledged]]/Table1[[#This Row],[backers_count]],"NA")</f>
        <v>96.8</v>
      </c>
      <c r="L778" t="s">
        <v>21</v>
      </c>
      <c r="M778" t="s">
        <v>22</v>
      </c>
      <c r="N778">
        <v>1415253600</v>
      </c>
      <c r="O778">
        <v>1416117600</v>
      </c>
      <c r="P778" s="11">
        <f>+(((Table1[[#This Row],[launched_at]]/60)/60)/24)+DATE(1970,1,1)</f>
        <v>41949.25</v>
      </c>
      <c r="Q778" s="11">
        <f>+(((Table1[[#This Row],[deadline]]/60)/60)/24)+DATE(1970,1,1)</f>
        <v>41959.25</v>
      </c>
      <c r="R778" t="b">
        <v>0</v>
      </c>
      <c r="S778" t="b">
        <v>0</v>
      </c>
      <c r="T778" t="s">
        <v>23</v>
      </c>
      <c r="U778" t="str">
        <f>+LEFT(Table1[[#This Row],[category &amp; sub-category]],FIND("/",Table1[[#This Row],[category &amp; sub-category]])-1)</f>
        <v>music</v>
      </c>
      <c r="V778" t="str">
        <f>+RIGHT(Table1[[#This Row],[category &amp; sub-category]],LEN(Table1[[#This Row],[category &amp; sub-category]])-SEARCH("/",Table1[[#This Row],[category &amp; sub-category]]))</f>
        <v>rock</v>
      </c>
    </row>
    <row r="779" spans="2:22" ht="15.75" customHeight="1" x14ac:dyDescent="0.25">
      <c r="B779">
        <v>776</v>
      </c>
      <c r="C779" t="s">
        <v>1587</v>
      </c>
      <c r="D779" s="3" t="s">
        <v>1588</v>
      </c>
      <c r="E779" s="6">
        <v>110800</v>
      </c>
      <c r="F779" s="6">
        <v>72623</v>
      </c>
      <c r="G779" s="17">
        <f>ROUND(Table1[[#This Row],[pledged]]/Table1[[#This Row],[goal]]*100,2)</f>
        <v>65.540000000000006</v>
      </c>
      <c r="H779" s="5">
        <f>+Table1[[#This Row],[pledged]]/Table1[[#This Row],[goal]]</f>
        <v>0.65544223826714798</v>
      </c>
      <c r="I779" t="s">
        <v>14</v>
      </c>
      <c r="J779">
        <v>2201</v>
      </c>
      <c r="K779" s="8">
        <f>IFERROR(Table1[[#This Row],[pledged]]/Table1[[#This Row],[backers_count]],"NA")</f>
        <v>32.995456610631528</v>
      </c>
      <c r="L779" t="s">
        <v>21</v>
      </c>
      <c r="M779" t="s">
        <v>22</v>
      </c>
      <c r="N779">
        <v>1562216400</v>
      </c>
      <c r="O779">
        <v>1563771600</v>
      </c>
      <c r="P779" s="11">
        <f>+(((Table1[[#This Row],[launched_at]]/60)/60)/24)+DATE(1970,1,1)</f>
        <v>43650.208333333328</v>
      </c>
      <c r="Q779" s="11">
        <f>+(((Table1[[#This Row],[deadline]]/60)/60)/24)+DATE(1970,1,1)</f>
        <v>43668.208333333328</v>
      </c>
      <c r="R779" t="b">
        <v>0</v>
      </c>
      <c r="S779" t="b">
        <v>0</v>
      </c>
      <c r="T779" t="s">
        <v>33</v>
      </c>
      <c r="U779" t="str">
        <f>+LEFT(Table1[[#This Row],[category &amp; sub-category]],FIND("/",Table1[[#This Row],[category &amp; sub-category]])-1)</f>
        <v>theater</v>
      </c>
      <c r="V779" t="str">
        <f>+RIGHT(Table1[[#This Row],[category &amp; sub-category]],LEN(Table1[[#This Row],[category &amp; sub-category]])-SEARCH("/",Table1[[#This Row],[category &amp; sub-category]]))</f>
        <v>plays</v>
      </c>
    </row>
    <row r="780" spans="2:22" ht="15.75" customHeight="1" x14ac:dyDescent="0.25">
      <c r="B780">
        <v>777</v>
      </c>
      <c r="C780" t="s">
        <v>1589</v>
      </c>
      <c r="D780" s="3" t="s">
        <v>1590</v>
      </c>
      <c r="E780" s="6">
        <v>93800</v>
      </c>
      <c r="F780" s="6">
        <v>45987</v>
      </c>
      <c r="G780" s="17">
        <f>ROUND(Table1[[#This Row],[pledged]]/Table1[[#This Row],[goal]]*100,2)</f>
        <v>49.03</v>
      </c>
      <c r="H780" s="5">
        <f>+Table1[[#This Row],[pledged]]/Table1[[#This Row],[goal]]</f>
        <v>0.49026652452025588</v>
      </c>
      <c r="I780" t="s">
        <v>14</v>
      </c>
      <c r="J780">
        <v>676</v>
      </c>
      <c r="K780" s="8">
        <f>IFERROR(Table1[[#This Row],[pledged]]/Table1[[#This Row],[backers_count]],"NA")</f>
        <v>68.028106508875737</v>
      </c>
      <c r="L780" t="s">
        <v>21</v>
      </c>
      <c r="M780" t="s">
        <v>22</v>
      </c>
      <c r="N780">
        <v>1316754000</v>
      </c>
      <c r="O780">
        <v>1319259600</v>
      </c>
      <c r="P780" s="11">
        <f>+(((Table1[[#This Row],[launched_at]]/60)/60)/24)+DATE(1970,1,1)</f>
        <v>40809.208333333336</v>
      </c>
      <c r="Q780" s="11">
        <f>+(((Table1[[#This Row],[deadline]]/60)/60)/24)+DATE(1970,1,1)</f>
        <v>40838.208333333336</v>
      </c>
      <c r="R780" t="b">
        <v>0</v>
      </c>
      <c r="S780" t="b">
        <v>0</v>
      </c>
      <c r="T780" t="s">
        <v>33</v>
      </c>
      <c r="U780" t="str">
        <f>+LEFT(Table1[[#This Row],[category &amp; sub-category]],FIND("/",Table1[[#This Row],[category &amp; sub-category]])-1)</f>
        <v>theater</v>
      </c>
      <c r="V780" t="str">
        <f>+RIGHT(Table1[[#This Row],[category &amp; sub-category]],LEN(Table1[[#This Row],[category &amp; sub-category]])-SEARCH("/",Table1[[#This Row],[category &amp; sub-category]]))</f>
        <v>plays</v>
      </c>
    </row>
    <row r="781" spans="2:22" ht="15.75" customHeight="1" x14ac:dyDescent="0.25">
      <c r="B781">
        <v>778</v>
      </c>
      <c r="C781" t="s">
        <v>1591</v>
      </c>
      <c r="D781" s="3" t="s">
        <v>1592</v>
      </c>
      <c r="E781" s="6">
        <v>1300</v>
      </c>
      <c r="F781" s="6">
        <v>10243</v>
      </c>
      <c r="G781" s="17">
        <f>ROUND(Table1[[#This Row],[pledged]]/Table1[[#This Row],[goal]]*100,2)</f>
        <v>787.92</v>
      </c>
      <c r="H781" s="5">
        <f>+Table1[[#This Row],[pledged]]/Table1[[#This Row],[goal]]</f>
        <v>7.8792307692307695</v>
      </c>
      <c r="I781" t="s">
        <v>20</v>
      </c>
      <c r="J781">
        <v>174</v>
      </c>
      <c r="K781" s="8">
        <f>IFERROR(Table1[[#This Row],[pledged]]/Table1[[#This Row],[backers_count]],"NA")</f>
        <v>58.867816091954026</v>
      </c>
      <c r="L781" t="s">
        <v>98</v>
      </c>
      <c r="M781" t="s">
        <v>99</v>
      </c>
      <c r="N781">
        <v>1313211600</v>
      </c>
      <c r="O781">
        <v>1313643600</v>
      </c>
      <c r="P781" s="11">
        <f>+(((Table1[[#This Row],[launched_at]]/60)/60)/24)+DATE(1970,1,1)</f>
        <v>40768.208333333336</v>
      </c>
      <c r="Q781" s="11">
        <f>+(((Table1[[#This Row],[deadline]]/60)/60)/24)+DATE(1970,1,1)</f>
        <v>40773.208333333336</v>
      </c>
      <c r="R781" t="b">
        <v>0</v>
      </c>
      <c r="S781" t="b">
        <v>0</v>
      </c>
      <c r="T781" t="s">
        <v>71</v>
      </c>
      <c r="U781" t="str">
        <f>+LEFT(Table1[[#This Row],[category &amp; sub-category]],FIND("/",Table1[[#This Row],[category &amp; sub-category]])-1)</f>
        <v>film &amp; video</v>
      </c>
      <c r="V781" t="str">
        <f>+RIGHT(Table1[[#This Row],[category &amp; sub-category]],LEN(Table1[[#This Row],[category &amp; sub-category]])-SEARCH("/",Table1[[#This Row],[category &amp; sub-category]]))</f>
        <v>animation</v>
      </c>
    </row>
    <row r="782" spans="2:22" ht="15.75" customHeight="1" x14ac:dyDescent="0.25">
      <c r="B782">
        <v>779</v>
      </c>
      <c r="C782" t="s">
        <v>1593</v>
      </c>
      <c r="D782" s="3" t="s">
        <v>1594</v>
      </c>
      <c r="E782" s="6">
        <v>108700</v>
      </c>
      <c r="F782" s="6">
        <v>87293</v>
      </c>
      <c r="G782" s="17">
        <f>ROUND(Table1[[#This Row],[pledged]]/Table1[[#This Row],[goal]]*100,2)</f>
        <v>80.31</v>
      </c>
      <c r="H782" s="5">
        <f>+Table1[[#This Row],[pledged]]/Table1[[#This Row],[goal]]</f>
        <v>0.80306347746090156</v>
      </c>
      <c r="I782" t="s">
        <v>14</v>
      </c>
      <c r="J782">
        <v>831</v>
      </c>
      <c r="K782" s="8">
        <f>IFERROR(Table1[[#This Row],[pledged]]/Table1[[#This Row],[backers_count]],"NA")</f>
        <v>105.04572803850782</v>
      </c>
      <c r="L782" t="s">
        <v>21</v>
      </c>
      <c r="M782" t="s">
        <v>22</v>
      </c>
      <c r="N782">
        <v>1439528400</v>
      </c>
      <c r="O782">
        <v>1440306000</v>
      </c>
      <c r="P782" s="11">
        <f>+(((Table1[[#This Row],[launched_at]]/60)/60)/24)+DATE(1970,1,1)</f>
        <v>42230.208333333328</v>
      </c>
      <c r="Q782" s="11">
        <f>+(((Table1[[#This Row],[deadline]]/60)/60)/24)+DATE(1970,1,1)</f>
        <v>42239.208333333328</v>
      </c>
      <c r="R782" t="b">
        <v>0</v>
      </c>
      <c r="S782" t="b">
        <v>1</v>
      </c>
      <c r="T782" t="s">
        <v>33</v>
      </c>
      <c r="U782" t="str">
        <f>+LEFT(Table1[[#This Row],[category &amp; sub-category]],FIND("/",Table1[[#This Row],[category &amp; sub-category]])-1)</f>
        <v>theater</v>
      </c>
      <c r="V782" t="str">
        <f>+RIGHT(Table1[[#This Row],[category &amp; sub-category]],LEN(Table1[[#This Row],[category &amp; sub-category]])-SEARCH("/",Table1[[#This Row],[category &amp; sub-category]]))</f>
        <v>plays</v>
      </c>
    </row>
    <row r="783" spans="2:22" ht="15.75" customHeight="1" x14ac:dyDescent="0.25">
      <c r="B783">
        <v>780</v>
      </c>
      <c r="C783" t="s">
        <v>1595</v>
      </c>
      <c r="D783" s="3" t="s">
        <v>1596</v>
      </c>
      <c r="E783" s="6">
        <v>5100</v>
      </c>
      <c r="F783" s="6">
        <v>5421</v>
      </c>
      <c r="G783" s="17">
        <f>ROUND(Table1[[#This Row],[pledged]]/Table1[[#This Row],[goal]]*100,2)</f>
        <v>106.29</v>
      </c>
      <c r="H783" s="5">
        <f>+Table1[[#This Row],[pledged]]/Table1[[#This Row],[goal]]</f>
        <v>1.0629411764705883</v>
      </c>
      <c r="I783" t="s">
        <v>20</v>
      </c>
      <c r="J783">
        <v>164</v>
      </c>
      <c r="K783" s="8">
        <f>IFERROR(Table1[[#This Row],[pledged]]/Table1[[#This Row],[backers_count]],"NA")</f>
        <v>33.054878048780488</v>
      </c>
      <c r="L783" t="s">
        <v>21</v>
      </c>
      <c r="M783" t="s">
        <v>22</v>
      </c>
      <c r="N783">
        <v>1469163600</v>
      </c>
      <c r="O783">
        <v>1470805200</v>
      </c>
      <c r="P783" s="11">
        <f>+(((Table1[[#This Row],[launched_at]]/60)/60)/24)+DATE(1970,1,1)</f>
        <v>42573.208333333328</v>
      </c>
      <c r="Q783" s="11">
        <f>+(((Table1[[#This Row],[deadline]]/60)/60)/24)+DATE(1970,1,1)</f>
        <v>42592.208333333328</v>
      </c>
      <c r="R783" t="b">
        <v>0</v>
      </c>
      <c r="S783" t="b">
        <v>1</v>
      </c>
      <c r="T783" t="s">
        <v>53</v>
      </c>
      <c r="U783" t="str">
        <f>+LEFT(Table1[[#This Row],[category &amp; sub-category]],FIND("/",Table1[[#This Row],[category &amp; sub-category]])-1)</f>
        <v>film &amp; video</v>
      </c>
      <c r="V783" t="str">
        <f>+RIGHT(Table1[[#This Row],[category &amp; sub-category]],LEN(Table1[[#This Row],[category &amp; sub-category]])-SEARCH("/",Table1[[#This Row],[category &amp; sub-category]]))</f>
        <v>drama</v>
      </c>
    </row>
    <row r="784" spans="2:22" ht="15.75" customHeight="1" x14ac:dyDescent="0.25">
      <c r="B784">
        <v>781</v>
      </c>
      <c r="C784" t="s">
        <v>1597</v>
      </c>
      <c r="D784" s="3" t="s">
        <v>1598</v>
      </c>
      <c r="E784" s="6">
        <v>8700</v>
      </c>
      <c r="F784" s="6">
        <v>4414</v>
      </c>
      <c r="G784" s="17">
        <f>ROUND(Table1[[#This Row],[pledged]]/Table1[[#This Row],[goal]]*100,2)</f>
        <v>50.74</v>
      </c>
      <c r="H784" s="5">
        <f>+Table1[[#This Row],[pledged]]/Table1[[#This Row],[goal]]</f>
        <v>0.50735632183908042</v>
      </c>
      <c r="I784" t="s">
        <v>74</v>
      </c>
      <c r="J784">
        <v>56</v>
      </c>
      <c r="K784" s="8">
        <f>IFERROR(Table1[[#This Row],[pledged]]/Table1[[#This Row],[backers_count]],"NA")</f>
        <v>78.821428571428569</v>
      </c>
      <c r="L784" t="s">
        <v>98</v>
      </c>
      <c r="M784" t="s">
        <v>99</v>
      </c>
      <c r="N784">
        <v>1288501200</v>
      </c>
      <c r="O784">
        <v>1292911200</v>
      </c>
      <c r="P784" s="11">
        <f>+(((Table1[[#This Row],[launched_at]]/60)/60)/24)+DATE(1970,1,1)</f>
        <v>40482.208333333336</v>
      </c>
      <c r="Q784" s="11">
        <f>+(((Table1[[#This Row],[deadline]]/60)/60)/24)+DATE(1970,1,1)</f>
        <v>40533.25</v>
      </c>
      <c r="R784" t="b">
        <v>0</v>
      </c>
      <c r="S784" t="b">
        <v>0</v>
      </c>
      <c r="T784" t="s">
        <v>33</v>
      </c>
      <c r="U784" t="str">
        <f>+LEFT(Table1[[#This Row],[category &amp; sub-category]],FIND("/",Table1[[#This Row],[category &amp; sub-category]])-1)</f>
        <v>theater</v>
      </c>
      <c r="V784" t="str">
        <f>+RIGHT(Table1[[#This Row],[category &amp; sub-category]],LEN(Table1[[#This Row],[category &amp; sub-category]])-SEARCH("/",Table1[[#This Row],[category &amp; sub-category]]))</f>
        <v>plays</v>
      </c>
    </row>
    <row r="785" spans="2:22" ht="15.75" customHeight="1" x14ac:dyDescent="0.25">
      <c r="B785">
        <v>782</v>
      </c>
      <c r="C785" t="s">
        <v>1599</v>
      </c>
      <c r="D785" s="3" t="s">
        <v>1600</v>
      </c>
      <c r="E785" s="6">
        <v>5100</v>
      </c>
      <c r="F785" s="6">
        <v>10981</v>
      </c>
      <c r="G785" s="17">
        <f>ROUND(Table1[[#This Row],[pledged]]/Table1[[#This Row],[goal]]*100,2)</f>
        <v>215.31</v>
      </c>
      <c r="H785" s="5">
        <f>+Table1[[#This Row],[pledged]]/Table1[[#This Row],[goal]]</f>
        <v>2.153137254901961</v>
      </c>
      <c r="I785" t="s">
        <v>20</v>
      </c>
      <c r="J785">
        <v>161</v>
      </c>
      <c r="K785" s="8">
        <f>IFERROR(Table1[[#This Row],[pledged]]/Table1[[#This Row],[backers_count]],"NA")</f>
        <v>68.204968944099377</v>
      </c>
      <c r="L785" t="s">
        <v>21</v>
      </c>
      <c r="M785" t="s">
        <v>22</v>
      </c>
      <c r="N785">
        <v>1298959200</v>
      </c>
      <c r="O785">
        <v>1301374800</v>
      </c>
      <c r="P785" s="11">
        <f>+(((Table1[[#This Row],[launched_at]]/60)/60)/24)+DATE(1970,1,1)</f>
        <v>40603.25</v>
      </c>
      <c r="Q785" s="11">
        <f>+(((Table1[[#This Row],[deadline]]/60)/60)/24)+DATE(1970,1,1)</f>
        <v>40631.208333333336</v>
      </c>
      <c r="R785" t="b">
        <v>0</v>
      </c>
      <c r="S785" t="b">
        <v>1</v>
      </c>
      <c r="T785" t="s">
        <v>71</v>
      </c>
      <c r="U785" t="str">
        <f>+LEFT(Table1[[#This Row],[category &amp; sub-category]],FIND("/",Table1[[#This Row],[category &amp; sub-category]])-1)</f>
        <v>film &amp; video</v>
      </c>
      <c r="V785" t="str">
        <f>+RIGHT(Table1[[#This Row],[category &amp; sub-category]],LEN(Table1[[#This Row],[category &amp; sub-category]])-SEARCH("/",Table1[[#This Row],[category &amp; sub-category]]))</f>
        <v>animation</v>
      </c>
    </row>
    <row r="786" spans="2:22" ht="15.75" customHeight="1" x14ac:dyDescent="0.25">
      <c r="B786">
        <v>783</v>
      </c>
      <c r="C786" t="s">
        <v>1601</v>
      </c>
      <c r="D786" s="3" t="s">
        <v>1602</v>
      </c>
      <c r="E786" s="6">
        <v>7400</v>
      </c>
      <c r="F786" s="6">
        <v>10451</v>
      </c>
      <c r="G786" s="17">
        <f>ROUND(Table1[[#This Row],[pledged]]/Table1[[#This Row],[goal]]*100,2)</f>
        <v>141.22999999999999</v>
      </c>
      <c r="H786" s="5">
        <f>+Table1[[#This Row],[pledged]]/Table1[[#This Row],[goal]]</f>
        <v>1.4122972972972974</v>
      </c>
      <c r="I786" t="s">
        <v>20</v>
      </c>
      <c r="J786">
        <v>138</v>
      </c>
      <c r="K786" s="8">
        <f>IFERROR(Table1[[#This Row],[pledged]]/Table1[[#This Row],[backers_count]],"NA")</f>
        <v>75.731884057971016</v>
      </c>
      <c r="L786" t="s">
        <v>21</v>
      </c>
      <c r="M786" t="s">
        <v>22</v>
      </c>
      <c r="N786">
        <v>1387260000</v>
      </c>
      <c r="O786">
        <v>1387864800</v>
      </c>
      <c r="P786" s="11">
        <f>+(((Table1[[#This Row],[launched_at]]/60)/60)/24)+DATE(1970,1,1)</f>
        <v>41625.25</v>
      </c>
      <c r="Q786" s="11">
        <f>+(((Table1[[#This Row],[deadline]]/60)/60)/24)+DATE(1970,1,1)</f>
        <v>41632.25</v>
      </c>
      <c r="R786" t="b">
        <v>0</v>
      </c>
      <c r="S786" t="b">
        <v>0</v>
      </c>
      <c r="T786" t="s">
        <v>23</v>
      </c>
      <c r="U786" t="str">
        <f>+LEFT(Table1[[#This Row],[category &amp; sub-category]],FIND("/",Table1[[#This Row],[category &amp; sub-category]])-1)</f>
        <v>music</v>
      </c>
      <c r="V786" t="str">
        <f>+RIGHT(Table1[[#This Row],[category &amp; sub-category]],LEN(Table1[[#This Row],[category &amp; sub-category]])-SEARCH("/",Table1[[#This Row],[category &amp; sub-category]]))</f>
        <v>rock</v>
      </c>
    </row>
    <row r="787" spans="2:22" ht="15.75" customHeight="1" x14ac:dyDescent="0.25">
      <c r="B787">
        <v>784</v>
      </c>
      <c r="C787" t="s">
        <v>1603</v>
      </c>
      <c r="D787" s="3" t="s">
        <v>1604</v>
      </c>
      <c r="E787" s="6">
        <v>88900</v>
      </c>
      <c r="F787" s="6">
        <v>102535</v>
      </c>
      <c r="G787" s="17">
        <f>ROUND(Table1[[#This Row],[pledged]]/Table1[[#This Row],[goal]]*100,2)</f>
        <v>115.34</v>
      </c>
      <c r="H787" s="5">
        <f>+Table1[[#This Row],[pledged]]/Table1[[#This Row],[goal]]</f>
        <v>1.1533745781777278</v>
      </c>
      <c r="I787" t="s">
        <v>20</v>
      </c>
      <c r="J787">
        <v>3308</v>
      </c>
      <c r="K787" s="8">
        <f>IFERROR(Table1[[#This Row],[pledged]]/Table1[[#This Row],[backers_count]],"NA")</f>
        <v>30.996070133010882</v>
      </c>
      <c r="L787" t="s">
        <v>21</v>
      </c>
      <c r="M787" t="s">
        <v>22</v>
      </c>
      <c r="N787">
        <v>1457244000</v>
      </c>
      <c r="O787">
        <v>1458190800</v>
      </c>
      <c r="P787" s="11">
        <f>+(((Table1[[#This Row],[launched_at]]/60)/60)/24)+DATE(1970,1,1)</f>
        <v>42435.25</v>
      </c>
      <c r="Q787" s="11">
        <f>+(((Table1[[#This Row],[deadline]]/60)/60)/24)+DATE(1970,1,1)</f>
        <v>42446.208333333328</v>
      </c>
      <c r="R787" t="b">
        <v>0</v>
      </c>
      <c r="S787" t="b">
        <v>0</v>
      </c>
      <c r="T787" t="s">
        <v>28</v>
      </c>
      <c r="U787" t="str">
        <f>+LEFT(Table1[[#This Row],[category &amp; sub-category]],FIND("/",Table1[[#This Row],[category &amp; sub-category]])-1)</f>
        <v>technology</v>
      </c>
      <c r="V787" t="str">
        <f>+RIGHT(Table1[[#This Row],[category &amp; sub-category]],LEN(Table1[[#This Row],[category &amp; sub-category]])-SEARCH("/",Table1[[#This Row],[category &amp; sub-category]]))</f>
        <v>web</v>
      </c>
    </row>
    <row r="788" spans="2:22" ht="15.75" customHeight="1" x14ac:dyDescent="0.25">
      <c r="B788">
        <v>785</v>
      </c>
      <c r="C788" t="s">
        <v>1605</v>
      </c>
      <c r="D788" s="3" t="s">
        <v>1606</v>
      </c>
      <c r="E788" s="6">
        <v>6700</v>
      </c>
      <c r="F788" s="6">
        <v>12939</v>
      </c>
      <c r="G788" s="17">
        <f>ROUND(Table1[[#This Row],[pledged]]/Table1[[#This Row],[goal]]*100,2)</f>
        <v>193.12</v>
      </c>
      <c r="H788" s="5">
        <f>+Table1[[#This Row],[pledged]]/Table1[[#This Row],[goal]]</f>
        <v>1.9311940298507462</v>
      </c>
      <c r="I788" t="s">
        <v>20</v>
      </c>
      <c r="J788">
        <v>127</v>
      </c>
      <c r="K788" s="8">
        <f>IFERROR(Table1[[#This Row],[pledged]]/Table1[[#This Row],[backers_count]],"NA")</f>
        <v>101.88188976377953</v>
      </c>
      <c r="L788" t="s">
        <v>26</v>
      </c>
      <c r="M788" t="s">
        <v>27</v>
      </c>
      <c r="N788">
        <v>1556341200</v>
      </c>
      <c r="O788">
        <v>1559278800</v>
      </c>
      <c r="P788" s="11">
        <f>+(((Table1[[#This Row],[launched_at]]/60)/60)/24)+DATE(1970,1,1)</f>
        <v>43582.208333333328</v>
      </c>
      <c r="Q788" s="11">
        <f>+(((Table1[[#This Row],[deadline]]/60)/60)/24)+DATE(1970,1,1)</f>
        <v>43616.208333333328</v>
      </c>
      <c r="R788" t="b">
        <v>0</v>
      </c>
      <c r="S788" t="b">
        <v>1</v>
      </c>
      <c r="T788" t="s">
        <v>71</v>
      </c>
      <c r="U788" t="str">
        <f>+LEFT(Table1[[#This Row],[category &amp; sub-category]],FIND("/",Table1[[#This Row],[category &amp; sub-category]])-1)</f>
        <v>film &amp; video</v>
      </c>
      <c r="V788" t="str">
        <f>+RIGHT(Table1[[#This Row],[category &amp; sub-category]],LEN(Table1[[#This Row],[category &amp; sub-category]])-SEARCH("/",Table1[[#This Row],[category &amp; sub-category]]))</f>
        <v>animation</v>
      </c>
    </row>
    <row r="789" spans="2:22" ht="15.75" customHeight="1" x14ac:dyDescent="0.25">
      <c r="B789">
        <v>786</v>
      </c>
      <c r="C789" t="s">
        <v>1607</v>
      </c>
      <c r="D789" s="3" t="s">
        <v>1608</v>
      </c>
      <c r="E789" s="6">
        <v>1500</v>
      </c>
      <c r="F789" s="6">
        <v>10946</v>
      </c>
      <c r="G789" s="17">
        <f>ROUND(Table1[[#This Row],[pledged]]/Table1[[#This Row],[goal]]*100,2)</f>
        <v>729.73</v>
      </c>
      <c r="H789" s="5">
        <f>+Table1[[#This Row],[pledged]]/Table1[[#This Row],[goal]]</f>
        <v>7.2973333333333334</v>
      </c>
      <c r="I789" t="s">
        <v>20</v>
      </c>
      <c r="J789">
        <v>207</v>
      </c>
      <c r="K789" s="8">
        <f>IFERROR(Table1[[#This Row],[pledged]]/Table1[[#This Row],[backers_count]],"NA")</f>
        <v>52.879227053140099</v>
      </c>
      <c r="L789" t="s">
        <v>107</v>
      </c>
      <c r="M789" t="s">
        <v>108</v>
      </c>
      <c r="N789">
        <v>1522126800</v>
      </c>
      <c r="O789">
        <v>1522731600</v>
      </c>
      <c r="P789" s="11">
        <f>+(((Table1[[#This Row],[launched_at]]/60)/60)/24)+DATE(1970,1,1)</f>
        <v>43186.208333333328</v>
      </c>
      <c r="Q789" s="11">
        <f>+(((Table1[[#This Row],[deadline]]/60)/60)/24)+DATE(1970,1,1)</f>
        <v>43193.208333333328</v>
      </c>
      <c r="R789" t="b">
        <v>0</v>
      </c>
      <c r="S789" t="b">
        <v>1</v>
      </c>
      <c r="T789" t="s">
        <v>159</v>
      </c>
      <c r="U789" t="str">
        <f>+LEFT(Table1[[#This Row],[category &amp; sub-category]],FIND("/",Table1[[#This Row],[category &amp; sub-category]])-1)</f>
        <v>music</v>
      </c>
      <c r="V789" t="str">
        <f>+RIGHT(Table1[[#This Row],[category &amp; sub-category]],LEN(Table1[[#This Row],[category &amp; sub-category]])-SEARCH("/",Table1[[#This Row],[category &amp; sub-category]]))</f>
        <v>jazz</v>
      </c>
    </row>
    <row r="790" spans="2:22" ht="15.75" customHeight="1" x14ac:dyDescent="0.25">
      <c r="B790">
        <v>787</v>
      </c>
      <c r="C790" t="s">
        <v>1609</v>
      </c>
      <c r="D790" s="3" t="s">
        <v>1610</v>
      </c>
      <c r="E790" s="6">
        <v>61200</v>
      </c>
      <c r="F790" s="6">
        <v>60994</v>
      </c>
      <c r="G790" s="17">
        <f>ROUND(Table1[[#This Row],[pledged]]/Table1[[#This Row],[goal]]*100,2)</f>
        <v>99.66</v>
      </c>
      <c r="H790" s="5">
        <f>+Table1[[#This Row],[pledged]]/Table1[[#This Row],[goal]]</f>
        <v>0.99663398692810456</v>
      </c>
      <c r="I790" t="s">
        <v>14</v>
      </c>
      <c r="J790">
        <v>859</v>
      </c>
      <c r="K790" s="8">
        <f>IFERROR(Table1[[#This Row],[pledged]]/Table1[[#This Row],[backers_count]],"NA")</f>
        <v>71.005820721769496</v>
      </c>
      <c r="L790" t="s">
        <v>15</v>
      </c>
      <c r="M790" t="s">
        <v>16</v>
      </c>
      <c r="N790">
        <v>1305954000</v>
      </c>
      <c r="O790">
        <v>1306731600</v>
      </c>
      <c r="P790" s="11">
        <f>+(((Table1[[#This Row],[launched_at]]/60)/60)/24)+DATE(1970,1,1)</f>
        <v>40684.208333333336</v>
      </c>
      <c r="Q790" s="11">
        <f>+(((Table1[[#This Row],[deadline]]/60)/60)/24)+DATE(1970,1,1)</f>
        <v>40693.208333333336</v>
      </c>
      <c r="R790" t="b">
        <v>0</v>
      </c>
      <c r="S790" t="b">
        <v>0</v>
      </c>
      <c r="T790" t="s">
        <v>23</v>
      </c>
      <c r="U790" t="str">
        <f>+LEFT(Table1[[#This Row],[category &amp; sub-category]],FIND("/",Table1[[#This Row],[category &amp; sub-category]])-1)</f>
        <v>music</v>
      </c>
      <c r="V790" t="str">
        <f>+RIGHT(Table1[[#This Row],[category &amp; sub-category]],LEN(Table1[[#This Row],[category &amp; sub-category]])-SEARCH("/",Table1[[#This Row],[category &amp; sub-category]]))</f>
        <v>rock</v>
      </c>
    </row>
    <row r="791" spans="2:22" ht="15.75" customHeight="1" x14ac:dyDescent="0.25">
      <c r="B791">
        <v>788</v>
      </c>
      <c r="C791" t="s">
        <v>1611</v>
      </c>
      <c r="D791" s="3" t="s">
        <v>1612</v>
      </c>
      <c r="E791" s="6">
        <v>3600</v>
      </c>
      <c r="F791" s="6">
        <v>3174</v>
      </c>
      <c r="G791" s="17">
        <f>ROUND(Table1[[#This Row],[pledged]]/Table1[[#This Row],[goal]]*100,2)</f>
        <v>88.17</v>
      </c>
      <c r="H791" s="5">
        <f>+Table1[[#This Row],[pledged]]/Table1[[#This Row],[goal]]</f>
        <v>0.88166666666666671</v>
      </c>
      <c r="I791" t="s">
        <v>47</v>
      </c>
      <c r="J791">
        <v>31</v>
      </c>
      <c r="K791" s="8">
        <f>IFERROR(Table1[[#This Row],[pledged]]/Table1[[#This Row],[backers_count]],"NA")</f>
        <v>102.38709677419355</v>
      </c>
      <c r="L791" t="s">
        <v>21</v>
      </c>
      <c r="M791" t="s">
        <v>22</v>
      </c>
      <c r="N791">
        <v>1350709200</v>
      </c>
      <c r="O791">
        <v>1352527200</v>
      </c>
      <c r="P791" s="11">
        <f>+(((Table1[[#This Row],[launched_at]]/60)/60)/24)+DATE(1970,1,1)</f>
        <v>41202.208333333336</v>
      </c>
      <c r="Q791" s="11">
        <f>+(((Table1[[#This Row],[deadline]]/60)/60)/24)+DATE(1970,1,1)</f>
        <v>41223.25</v>
      </c>
      <c r="R791" t="b">
        <v>0</v>
      </c>
      <c r="S791" t="b">
        <v>0</v>
      </c>
      <c r="T791" t="s">
        <v>71</v>
      </c>
      <c r="U791" t="str">
        <f>+LEFT(Table1[[#This Row],[category &amp; sub-category]],FIND("/",Table1[[#This Row],[category &amp; sub-category]])-1)</f>
        <v>film &amp; video</v>
      </c>
      <c r="V791" t="str">
        <f>+RIGHT(Table1[[#This Row],[category &amp; sub-category]],LEN(Table1[[#This Row],[category &amp; sub-category]])-SEARCH("/",Table1[[#This Row],[category &amp; sub-category]]))</f>
        <v>animation</v>
      </c>
    </row>
    <row r="792" spans="2:22" ht="15.75" customHeight="1" x14ac:dyDescent="0.25">
      <c r="B792">
        <v>789</v>
      </c>
      <c r="C792" t="s">
        <v>1613</v>
      </c>
      <c r="D792" s="3" t="s">
        <v>1614</v>
      </c>
      <c r="E792" s="6">
        <v>9000</v>
      </c>
      <c r="F792" s="6">
        <v>3351</v>
      </c>
      <c r="G792" s="17">
        <f>ROUND(Table1[[#This Row],[pledged]]/Table1[[#This Row],[goal]]*100,2)</f>
        <v>37.229999999999997</v>
      </c>
      <c r="H792" s="5">
        <f>+Table1[[#This Row],[pledged]]/Table1[[#This Row],[goal]]</f>
        <v>0.37233333333333335</v>
      </c>
      <c r="I792" t="s">
        <v>14</v>
      </c>
      <c r="J792">
        <v>45</v>
      </c>
      <c r="K792" s="8">
        <f>IFERROR(Table1[[#This Row],[pledged]]/Table1[[#This Row],[backers_count]],"NA")</f>
        <v>74.466666666666669</v>
      </c>
      <c r="L792" t="s">
        <v>21</v>
      </c>
      <c r="M792" t="s">
        <v>22</v>
      </c>
      <c r="N792">
        <v>1401166800</v>
      </c>
      <c r="O792">
        <v>1404363600</v>
      </c>
      <c r="P792" s="11">
        <f>+(((Table1[[#This Row],[launched_at]]/60)/60)/24)+DATE(1970,1,1)</f>
        <v>41786.208333333336</v>
      </c>
      <c r="Q792" s="11">
        <f>+(((Table1[[#This Row],[deadline]]/60)/60)/24)+DATE(1970,1,1)</f>
        <v>41823.208333333336</v>
      </c>
      <c r="R792" t="b">
        <v>0</v>
      </c>
      <c r="S792" t="b">
        <v>0</v>
      </c>
      <c r="T792" t="s">
        <v>33</v>
      </c>
      <c r="U792" t="str">
        <f>+LEFT(Table1[[#This Row],[category &amp; sub-category]],FIND("/",Table1[[#This Row],[category &amp; sub-category]])-1)</f>
        <v>theater</v>
      </c>
      <c r="V792" t="str">
        <f>+RIGHT(Table1[[#This Row],[category &amp; sub-category]],LEN(Table1[[#This Row],[category &amp; sub-category]])-SEARCH("/",Table1[[#This Row],[category &amp; sub-category]]))</f>
        <v>plays</v>
      </c>
    </row>
    <row r="793" spans="2:22" ht="15.75" customHeight="1" x14ac:dyDescent="0.25">
      <c r="B793">
        <v>790</v>
      </c>
      <c r="C793" t="s">
        <v>1615</v>
      </c>
      <c r="D793" s="3" t="s">
        <v>1616</v>
      </c>
      <c r="E793" s="6">
        <v>185900</v>
      </c>
      <c r="F793" s="6">
        <v>56774</v>
      </c>
      <c r="G793" s="17">
        <f>ROUND(Table1[[#This Row],[pledged]]/Table1[[#This Row],[goal]]*100,2)</f>
        <v>30.54</v>
      </c>
      <c r="H793" s="5">
        <f>+Table1[[#This Row],[pledged]]/Table1[[#This Row],[goal]]</f>
        <v>0.30540075309306081</v>
      </c>
      <c r="I793" t="s">
        <v>74</v>
      </c>
      <c r="J793">
        <v>1113</v>
      </c>
      <c r="K793" s="8">
        <f>IFERROR(Table1[[#This Row],[pledged]]/Table1[[#This Row],[backers_count]],"NA")</f>
        <v>51.009883198562441</v>
      </c>
      <c r="L793" t="s">
        <v>21</v>
      </c>
      <c r="M793" t="s">
        <v>22</v>
      </c>
      <c r="N793">
        <v>1266127200</v>
      </c>
      <c r="O793">
        <v>1266645600</v>
      </c>
      <c r="P793" s="11">
        <f>+(((Table1[[#This Row],[launched_at]]/60)/60)/24)+DATE(1970,1,1)</f>
        <v>40223.25</v>
      </c>
      <c r="Q793" s="11">
        <f>+(((Table1[[#This Row],[deadline]]/60)/60)/24)+DATE(1970,1,1)</f>
        <v>40229.25</v>
      </c>
      <c r="R793" t="b">
        <v>0</v>
      </c>
      <c r="S793" t="b">
        <v>0</v>
      </c>
      <c r="T793" t="s">
        <v>33</v>
      </c>
      <c r="U793" t="str">
        <f>+LEFT(Table1[[#This Row],[category &amp; sub-category]],FIND("/",Table1[[#This Row],[category &amp; sub-category]])-1)</f>
        <v>theater</v>
      </c>
      <c r="V793" t="str">
        <f>+RIGHT(Table1[[#This Row],[category &amp; sub-category]],LEN(Table1[[#This Row],[category &amp; sub-category]])-SEARCH("/",Table1[[#This Row],[category &amp; sub-category]]))</f>
        <v>plays</v>
      </c>
    </row>
    <row r="794" spans="2:22" ht="15.75" customHeight="1" x14ac:dyDescent="0.25">
      <c r="B794">
        <v>791</v>
      </c>
      <c r="C794" t="s">
        <v>1617</v>
      </c>
      <c r="D794" s="3" t="s">
        <v>1618</v>
      </c>
      <c r="E794" s="6">
        <v>2100</v>
      </c>
      <c r="F794" s="6">
        <v>540</v>
      </c>
      <c r="G794" s="17">
        <f>ROUND(Table1[[#This Row],[pledged]]/Table1[[#This Row],[goal]]*100,2)</f>
        <v>25.71</v>
      </c>
      <c r="H794" s="5">
        <f>+Table1[[#This Row],[pledged]]/Table1[[#This Row],[goal]]</f>
        <v>0.25714285714285712</v>
      </c>
      <c r="I794" t="s">
        <v>14</v>
      </c>
      <c r="J794">
        <v>6</v>
      </c>
      <c r="K794" s="8">
        <f>IFERROR(Table1[[#This Row],[pledged]]/Table1[[#This Row],[backers_count]],"NA")</f>
        <v>90</v>
      </c>
      <c r="L794" t="s">
        <v>21</v>
      </c>
      <c r="M794" t="s">
        <v>22</v>
      </c>
      <c r="N794">
        <v>1481436000</v>
      </c>
      <c r="O794">
        <v>1482818400</v>
      </c>
      <c r="P794" s="11">
        <f>+(((Table1[[#This Row],[launched_at]]/60)/60)/24)+DATE(1970,1,1)</f>
        <v>42715.25</v>
      </c>
      <c r="Q794" s="11">
        <f>+(((Table1[[#This Row],[deadline]]/60)/60)/24)+DATE(1970,1,1)</f>
        <v>42731.25</v>
      </c>
      <c r="R794" t="b">
        <v>0</v>
      </c>
      <c r="S794" t="b">
        <v>0</v>
      </c>
      <c r="T794" t="s">
        <v>17</v>
      </c>
      <c r="U794" t="str">
        <f>+LEFT(Table1[[#This Row],[category &amp; sub-category]],FIND("/",Table1[[#This Row],[category &amp; sub-category]])-1)</f>
        <v>food</v>
      </c>
      <c r="V794" t="str">
        <f>+RIGHT(Table1[[#This Row],[category &amp; sub-category]],LEN(Table1[[#This Row],[category &amp; sub-category]])-SEARCH("/",Table1[[#This Row],[category &amp; sub-category]]))</f>
        <v>food trucks</v>
      </c>
    </row>
    <row r="795" spans="2:22" ht="15.75" customHeight="1" x14ac:dyDescent="0.25">
      <c r="B795">
        <v>792</v>
      </c>
      <c r="C795" t="s">
        <v>1619</v>
      </c>
      <c r="D795" s="3" t="s">
        <v>1620</v>
      </c>
      <c r="E795" s="6">
        <v>2000</v>
      </c>
      <c r="F795" s="6">
        <v>680</v>
      </c>
      <c r="G795" s="17">
        <f>ROUND(Table1[[#This Row],[pledged]]/Table1[[#This Row],[goal]]*100,2)</f>
        <v>34</v>
      </c>
      <c r="H795" s="5">
        <f>+Table1[[#This Row],[pledged]]/Table1[[#This Row],[goal]]</f>
        <v>0.34</v>
      </c>
      <c r="I795" t="s">
        <v>14</v>
      </c>
      <c r="J795">
        <v>7</v>
      </c>
      <c r="K795" s="8">
        <f>IFERROR(Table1[[#This Row],[pledged]]/Table1[[#This Row],[backers_count]],"NA")</f>
        <v>97.142857142857139</v>
      </c>
      <c r="L795" t="s">
        <v>21</v>
      </c>
      <c r="M795" t="s">
        <v>22</v>
      </c>
      <c r="N795">
        <v>1372222800</v>
      </c>
      <c r="O795">
        <v>1374642000</v>
      </c>
      <c r="P795" s="11">
        <f>+(((Table1[[#This Row],[launched_at]]/60)/60)/24)+DATE(1970,1,1)</f>
        <v>41451.208333333336</v>
      </c>
      <c r="Q795" s="11">
        <f>+(((Table1[[#This Row],[deadline]]/60)/60)/24)+DATE(1970,1,1)</f>
        <v>41479.208333333336</v>
      </c>
      <c r="R795" t="b">
        <v>0</v>
      </c>
      <c r="S795" t="b">
        <v>1</v>
      </c>
      <c r="T795" t="s">
        <v>33</v>
      </c>
      <c r="U795" t="str">
        <f>+LEFT(Table1[[#This Row],[category &amp; sub-category]],FIND("/",Table1[[#This Row],[category &amp; sub-category]])-1)</f>
        <v>theater</v>
      </c>
      <c r="V795" t="str">
        <f>+RIGHT(Table1[[#This Row],[category &amp; sub-category]],LEN(Table1[[#This Row],[category &amp; sub-category]])-SEARCH("/",Table1[[#This Row],[category &amp; sub-category]]))</f>
        <v>plays</v>
      </c>
    </row>
    <row r="796" spans="2:22" ht="15.75" customHeight="1" x14ac:dyDescent="0.25">
      <c r="B796">
        <v>793</v>
      </c>
      <c r="C796" t="s">
        <v>1621</v>
      </c>
      <c r="D796" s="3" t="s">
        <v>1622</v>
      </c>
      <c r="E796" s="6">
        <v>1100</v>
      </c>
      <c r="F796" s="6">
        <v>13045</v>
      </c>
      <c r="G796" s="17">
        <f>ROUND(Table1[[#This Row],[pledged]]/Table1[[#This Row],[goal]]*100,2)</f>
        <v>1185.9100000000001</v>
      </c>
      <c r="H796" s="5">
        <f>+Table1[[#This Row],[pledged]]/Table1[[#This Row],[goal]]</f>
        <v>11.859090909090909</v>
      </c>
      <c r="I796" t="s">
        <v>20</v>
      </c>
      <c r="J796">
        <v>181</v>
      </c>
      <c r="K796" s="8">
        <f>IFERROR(Table1[[#This Row],[pledged]]/Table1[[#This Row],[backers_count]],"NA")</f>
        <v>72.071823204419886</v>
      </c>
      <c r="L796" t="s">
        <v>98</v>
      </c>
      <c r="M796" t="s">
        <v>99</v>
      </c>
      <c r="N796">
        <v>1372136400</v>
      </c>
      <c r="O796">
        <v>1372482000</v>
      </c>
      <c r="P796" s="11">
        <f>+(((Table1[[#This Row],[launched_at]]/60)/60)/24)+DATE(1970,1,1)</f>
        <v>41450.208333333336</v>
      </c>
      <c r="Q796" s="11">
        <f>+(((Table1[[#This Row],[deadline]]/60)/60)/24)+DATE(1970,1,1)</f>
        <v>41454.208333333336</v>
      </c>
      <c r="R796" t="b">
        <v>0</v>
      </c>
      <c r="S796" t="b">
        <v>0</v>
      </c>
      <c r="T796" t="s">
        <v>68</v>
      </c>
      <c r="U796" t="str">
        <f>+LEFT(Table1[[#This Row],[category &amp; sub-category]],FIND("/",Table1[[#This Row],[category &amp; sub-category]])-1)</f>
        <v>publishing</v>
      </c>
      <c r="V796" t="str">
        <f>+RIGHT(Table1[[#This Row],[category &amp; sub-category]],LEN(Table1[[#This Row],[category &amp; sub-category]])-SEARCH("/",Table1[[#This Row],[category &amp; sub-category]]))</f>
        <v>nonfiction</v>
      </c>
    </row>
    <row r="797" spans="2:22" ht="15.75" customHeight="1" x14ac:dyDescent="0.25">
      <c r="B797">
        <v>794</v>
      </c>
      <c r="C797" t="s">
        <v>1623</v>
      </c>
      <c r="D797" s="3" t="s">
        <v>1624</v>
      </c>
      <c r="E797" s="6">
        <v>6600</v>
      </c>
      <c r="F797" s="6">
        <v>8276</v>
      </c>
      <c r="G797" s="17">
        <f>ROUND(Table1[[#This Row],[pledged]]/Table1[[#This Row],[goal]]*100,2)</f>
        <v>125.39</v>
      </c>
      <c r="H797" s="5">
        <f>+Table1[[#This Row],[pledged]]/Table1[[#This Row],[goal]]</f>
        <v>1.2539393939393939</v>
      </c>
      <c r="I797" t="s">
        <v>20</v>
      </c>
      <c r="J797">
        <v>110</v>
      </c>
      <c r="K797" s="8">
        <f>IFERROR(Table1[[#This Row],[pledged]]/Table1[[#This Row],[backers_count]],"NA")</f>
        <v>75.236363636363635</v>
      </c>
      <c r="L797" t="s">
        <v>21</v>
      </c>
      <c r="M797" t="s">
        <v>22</v>
      </c>
      <c r="N797">
        <v>1513922400</v>
      </c>
      <c r="O797">
        <v>1514959200</v>
      </c>
      <c r="P797" s="11">
        <f>+(((Table1[[#This Row],[launched_at]]/60)/60)/24)+DATE(1970,1,1)</f>
        <v>43091.25</v>
      </c>
      <c r="Q797" s="11">
        <f>+(((Table1[[#This Row],[deadline]]/60)/60)/24)+DATE(1970,1,1)</f>
        <v>43103.25</v>
      </c>
      <c r="R797" t="b">
        <v>0</v>
      </c>
      <c r="S797" t="b">
        <v>0</v>
      </c>
      <c r="T797" t="s">
        <v>23</v>
      </c>
      <c r="U797" t="str">
        <f>+LEFT(Table1[[#This Row],[category &amp; sub-category]],FIND("/",Table1[[#This Row],[category &amp; sub-category]])-1)</f>
        <v>music</v>
      </c>
      <c r="V797" t="str">
        <f>+RIGHT(Table1[[#This Row],[category &amp; sub-category]],LEN(Table1[[#This Row],[category &amp; sub-category]])-SEARCH("/",Table1[[#This Row],[category &amp; sub-category]]))</f>
        <v>rock</v>
      </c>
    </row>
    <row r="798" spans="2:22" ht="15.75" customHeight="1" x14ac:dyDescent="0.25">
      <c r="B798">
        <v>795</v>
      </c>
      <c r="C798" t="s">
        <v>1625</v>
      </c>
      <c r="D798" s="3" t="s">
        <v>1626</v>
      </c>
      <c r="E798" s="6">
        <v>7100</v>
      </c>
      <c r="F798" s="6">
        <v>1022</v>
      </c>
      <c r="G798" s="17">
        <f>ROUND(Table1[[#This Row],[pledged]]/Table1[[#This Row],[goal]]*100,2)</f>
        <v>14.39</v>
      </c>
      <c r="H798" s="5">
        <f>+Table1[[#This Row],[pledged]]/Table1[[#This Row],[goal]]</f>
        <v>0.14394366197183098</v>
      </c>
      <c r="I798" t="s">
        <v>14</v>
      </c>
      <c r="J798">
        <v>31</v>
      </c>
      <c r="K798" s="8">
        <f>IFERROR(Table1[[#This Row],[pledged]]/Table1[[#This Row],[backers_count]],"NA")</f>
        <v>32.967741935483872</v>
      </c>
      <c r="L798" t="s">
        <v>21</v>
      </c>
      <c r="M798" t="s">
        <v>22</v>
      </c>
      <c r="N798">
        <v>1477976400</v>
      </c>
      <c r="O798">
        <v>1478235600</v>
      </c>
      <c r="P798" s="11">
        <f>+(((Table1[[#This Row],[launched_at]]/60)/60)/24)+DATE(1970,1,1)</f>
        <v>42675.208333333328</v>
      </c>
      <c r="Q798" s="11">
        <f>+(((Table1[[#This Row],[deadline]]/60)/60)/24)+DATE(1970,1,1)</f>
        <v>42678.208333333328</v>
      </c>
      <c r="R798" t="b">
        <v>0</v>
      </c>
      <c r="S798" t="b">
        <v>0</v>
      </c>
      <c r="T798" t="s">
        <v>53</v>
      </c>
      <c r="U798" t="str">
        <f>+LEFT(Table1[[#This Row],[category &amp; sub-category]],FIND("/",Table1[[#This Row],[category &amp; sub-category]])-1)</f>
        <v>film &amp; video</v>
      </c>
      <c r="V798" t="str">
        <f>+RIGHT(Table1[[#This Row],[category &amp; sub-category]],LEN(Table1[[#This Row],[category &amp; sub-category]])-SEARCH("/",Table1[[#This Row],[category &amp; sub-category]]))</f>
        <v>drama</v>
      </c>
    </row>
    <row r="799" spans="2:22" ht="15.75" customHeight="1" x14ac:dyDescent="0.25">
      <c r="B799">
        <v>796</v>
      </c>
      <c r="C799" t="s">
        <v>1627</v>
      </c>
      <c r="D799" s="3" t="s">
        <v>1628</v>
      </c>
      <c r="E799" s="6">
        <v>7800</v>
      </c>
      <c r="F799" s="6">
        <v>4275</v>
      </c>
      <c r="G799" s="17">
        <f>ROUND(Table1[[#This Row],[pledged]]/Table1[[#This Row],[goal]]*100,2)</f>
        <v>54.81</v>
      </c>
      <c r="H799" s="5">
        <f>+Table1[[#This Row],[pledged]]/Table1[[#This Row],[goal]]</f>
        <v>0.54807692307692313</v>
      </c>
      <c r="I799" t="s">
        <v>14</v>
      </c>
      <c r="J799">
        <v>78</v>
      </c>
      <c r="K799" s="8">
        <f>IFERROR(Table1[[#This Row],[pledged]]/Table1[[#This Row],[backers_count]],"NA")</f>
        <v>54.807692307692307</v>
      </c>
      <c r="L799" t="s">
        <v>21</v>
      </c>
      <c r="M799" t="s">
        <v>22</v>
      </c>
      <c r="N799">
        <v>1407474000</v>
      </c>
      <c r="O799">
        <v>1408078800</v>
      </c>
      <c r="P799" s="11">
        <f>+(((Table1[[#This Row],[launched_at]]/60)/60)/24)+DATE(1970,1,1)</f>
        <v>41859.208333333336</v>
      </c>
      <c r="Q799" s="11">
        <f>+(((Table1[[#This Row],[deadline]]/60)/60)/24)+DATE(1970,1,1)</f>
        <v>41866.208333333336</v>
      </c>
      <c r="R799" t="b">
        <v>0</v>
      </c>
      <c r="S799" t="b">
        <v>1</v>
      </c>
      <c r="T799" t="s">
        <v>292</v>
      </c>
      <c r="U799" t="str">
        <f>+LEFT(Table1[[#This Row],[category &amp; sub-category]],FIND("/",Table1[[#This Row],[category &amp; sub-category]])-1)</f>
        <v>games</v>
      </c>
      <c r="V799" t="str">
        <f>+RIGHT(Table1[[#This Row],[category &amp; sub-category]],LEN(Table1[[#This Row],[category &amp; sub-category]])-SEARCH("/",Table1[[#This Row],[category &amp; sub-category]]))</f>
        <v>mobile games</v>
      </c>
    </row>
    <row r="800" spans="2:22" ht="15.75" customHeight="1" x14ac:dyDescent="0.25">
      <c r="B800">
        <v>797</v>
      </c>
      <c r="C800" t="s">
        <v>1629</v>
      </c>
      <c r="D800" s="3" t="s">
        <v>1630</v>
      </c>
      <c r="E800" s="6">
        <v>7600</v>
      </c>
      <c r="F800" s="6">
        <v>8332</v>
      </c>
      <c r="G800" s="17">
        <f>ROUND(Table1[[#This Row],[pledged]]/Table1[[#This Row],[goal]]*100,2)</f>
        <v>109.63</v>
      </c>
      <c r="H800" s="5">
        <f>+Table1[[#This Row],[pledged]]/Table1[[#This Row],[goal]]</f>
        <v>1.0963157894736841</v>
      </c>
      <c r="I800" t="s">
        <v>20</v>
      </c>
      <c r="J800">
        <v>185</v>
      </c>
      <c r="K800" s="8">
        <f>IFERROR(Table1[[#This Row],[pledged]]/Table1[[#This Row],[backers_count]],"NA")</f>
        <v>45.037837837837834</v>
      </c>
      <c r="L800" t="s">
        <v>21</v>
      </c>
      <c r="M800" t="s">
        <v>22</v>
      </c>
      <c r="N800">
        <v>1546149600</v>
      </c>
      <c r="O800">
        <v>1548136800</v>
      </c>
      <c r="P800" s="11">
        <f>+(((Table1[[#This Row],[launched_at]]/60)/60)/24)+DATE(1970,1,1)</f>
        <v>43464.25</v>
      </c>
      <c r="Q800" s="11">
        <f>+(((Table1[[#This Row],[deadline]]/60)/60)/24)+DATE(1970,1,1)</f>
        <v>43487.25</v>
      </c>
      <c r="R800" t="b">
        <v>0</v>
      </c>
      <c r="S800" t="b">
        <v>0</v>
      </c>
      <c r="T800" t="s">
        <v>28</v>
      </c>
      <c r="U800" t="str">
        <f>+LEFT(Table1[[#This Row],[category &amp; sub-category]],FIND("/",Table1[[#This Row],[category &amp; sub-category]])-1)</f>
        <v>technology</v>
      </c>
      <c r="V800" t="str">
        <f>+RIGHT(Table1[[#This Row],[category &amp; sub-category]],LEN(Table1[[#This Row],[category &amp; sub-category]])-SEARCH("/",Table1[[#This Row],[category &amp; sub-category]]))</f>
        <v>web</v>
      </c>
    </row>
    <row r="801" spans="2:22" ht="15.75" customHeight="1" x14ac:dyDescent="0.25">
      <c r="B801">
        <v>798</v>
      </c>
      <c r="C801" t="s">
        <v>1631</v>
      </c>
      <c r="D801" s="3" t="s">
        <v>1632</v>
      </c>
      <c r="E801" s="6">
        <v>3400</v>
      </c>
      <c r="F801" s="6">
        <v>6408</v>
      </c>
      <c r="G801" s="17">
        <f>ROUND(Table1[[#This Row],[pledged]]/Table1[[#This Row],[goal]]*100,2)</f>
        <v>188.47</v>
      </c>
      <c r="H801" s="5">
        <f>+Table1[[#This Row],[pledged]]/Table1[[#This Row],[goal]]</f>
        <v>1.8847058823529412</v>
      </c>
      <c r="I801" t="s">
        <v>20</v>
      </c>
      <c r="J801">
        <v>121</v>
      </c>
      <c r="K801" s="8">
        <f>IFERROR(Table1[[#This Row],[pledged]]/Table1[[#This Row],[backers_count]],"NA")</f>
        <v>52.958677685950413</v>
      </c>
      <c r="L801" t="s">
        <v>21</v>
      </c>
      <c r="M801" t="s">
        <v>22</v>
      </c>
      <c r="N801">
        <v>1338440400</v>
      </c>
      <c r="O801">
        <v>1340859600</v>
      </c>
      <c r="P801" s="11">
        <f>+(((Table1[[#This Row],[launched_at]]/60)/60)/24)+DATE(1970,1,1)</f>
        <v>41060.208333333336</v>
      </c>
      <c r="Q801" s="11">
        <f>+(((Table1[[#This Row],[deadline]]/60)/60)/24)+DATE(1970,1,1)</f>
        <v>41088.208333333336</v>
      </c>
      <c r="R801" t="b">
        <v>0</v>
      </c>
      <c r="S801" t="b">
        <v>1</v>
      </c>
      <c r="T801" t="s">
        <v>33</v>
      </c>
      <c r="U801" t="str">
        <f>+LEFT(Table1[[#This Row],[category &amp; sub-category]],FIND("/",Table1[[#This Row],[category &amp; sub-category]])-1)</f>
        <v>theater</v>
      </c>
      <c r="V801" t="str">
        <f>+RIGHT(Table1[[#This Row],[category &amp; sub-category]],LEN(Table1[[#This Row],[category &amp; sub-category]])-SEARCH("/",Table1[[#This Row],[category &amp; sub-category]]))</f>
        <v>plays</v>
      </c>
    </row>
    <row r="802" spans="2:22" ht="15.75" customHeight="1" x14ac:dyDescent="0.25">
      <c r="B802">
        <v>799</v>
      </c>
      <c r="C802" t="s">
        <v>1633</v>
      </c>
      <c r="D802" s="3" t="s">
        <v>1634</v>
      </c>
      <c r="E802" s="6">
        <v>84500</v>
      </c>
      <c r="F802" s="6">
        <v>73522</v>
      </c>
      <c r="G802" s="17">
        <f>ROUND(Table1[[#This Row],[pledged]]/Table1[[#This Row],[goal]]*100,2)</f>
        <v>87.01</v>
      </c>
      <c r="H802" s="5">
        <f>+Table1[[#This Row],[pledged]]/Table1[[#This Row],[goal]]</f>
        <v>0.87008284023668636</v>
      </c>
      <c r="I802" t="s">
        <v>14</v>
      </c>
      <c r="J802">
        <v>1225</v>
      </c>
      <c r="K802" s="8">
        <f>IFERROR(Table1[[#This Row],[pledged]]/Table1[[#This Row],[backers_count]],"NA")</f>
        <v>60.017959183673469</v>
      </c>
      <c r="L802" t="s">
        <v>40</v>
      </c>
      <c r="M802" t="s">
        <v>41</v>
      </c>
      <c r="N802">
        <v>1454133600</v>
      </c>
      <c r="O802">
        <v>1454479200</v>
      </c>
      <c r="P802" s="11">
        <f>+(((Table1[[#This Row],[launched_at]]/60)/60)/24)+DATE(1970,1,1)</f>
        <v>42399.25</v>
      </c>
      <c r="Q802" s="11">
        <f>+(((Table1[[#This Row],[deadline]]/60)/60)/24)+DATE(1970,1,1)</f>
        <v>42403.25</v>
      </c>
      <c r="R802" t="b">
        <v>0</v>
      </c>
      <c r="S802" t="b">
        <v>0</v>
      </c>
      <c r="T802" t="s">
        <v>33</v>
      </c>
      <c r="U802" t="str">
        <f>+LEFT(Table1[[#This Row],[category &amp; sub-category]],FIND("/",Table1[[#This Row],[category &amp; sub-category]])-1)</f>
        <v>theater</v>
      </c>
      <c r="V802" t="str">
        <f>+RIGHT(Table1[[#This Row],[category &amp; sub-category]],LEN(Table1[[#This Row],[category &amp; sub-category]])-SEARCH("/",Table1[[#This Row],[category &amp; sub-category]]))</f>
        <v>plays</v>
      </c>
    </row>
    <row r="803" spans="2:22" ht="15.75" customHeight="1" x14ac:dyDescent="0.25">
      <c r="B803">
        <v>800</v>
      </c>
      <c r="C803" t="s">
        <v>1635</v>
      </c>
      <c r="D803" s="3" t="s">
        <v>1636</v>
      </c>
      <c r="E803" s="6">
        <v>100</v>
      </c>
      <c r="F803" s="6">
        <v>1</v>
      </c>
      <c r="G803" s="17">
        <f>ROUND(Table1[[#This Row],[pledged]]/Table1[[#This Row],[goal]]*100,2)</f>
        <v>1</v>
      </c>
      <c r="H803" s="5">
        <f>+Table1[[#This Row],[pledged]]/Table1[[#This Row],[goal]]</f>
        <v>0.01</v>
      </c>
      <c r="I803" t="s">
        <v>14</v>
      </c>
      <c r="J803">
        <v>1</v>
      </c>
      <c r="K803" s="8">
        <f>IFERROR(Table1[[#This Row],[pledged]]/Table1[[#This Row],[backers_count]],"NA")</f>
        <v>1</v>
      </c>
      <c r="L803" t="s">
        <v>98</v>
      </c>
      <c r="M803" t="s">
        <v>99</v>
      </c>
      <c r="N803">
        <v>1434085200</v>
      </c>
      <c r="O803">
        <v>1434430800</v>
      </c>
      <c r="P803" s="11">
        <f>+(((Table1[[#This Row],[launched_at]]/60)/60)/24)+DATE(1970,1,1)</f>
        <v>42167.208333333328</v>
      </c>
      <c r="Q803" s="11">
        <f>+(((Table1[[#This Row],[deadline]]/60)/60)/24)+DATE(1970,1,1)</f>
        <v>42171.208333333328</v>
      </c>
      <c r="R803" t="b">
        <v>0</v>
      </c>
      <c r="S803" t="b">
        <v>0</v>
      </c>
      <c r="T803" t="s">
        <v>23</v>
      </c>
      <c r="U803" t="str">
        <f>+LEFT(Table1[[#This Row],[category &amp; sub-category]],FIND("/",Table1[[#This Row],[category &amp; sub-category]])-1)</f>
        <v>music</v>
      </c>
      <c r="V803" t="str">
        <f>+RIGHT(Table1[[#This Row],[category &amp; sub-category]],LEN(Table1[[#This Row],[category &amp; sub-category]])-SEARCH("/",Table1[[#This Row],[category &amp; sub-category]]))</f>
        <v>rock</v>
      </c>
    </row>
    <row r="804" spans="2:22" ht="15.75" customHeight="1" x14ac:dyDescent="0.25">
      <c r="B804">
        <v>801</v>
      </c>
      <c r="C804" t="s">
        <v>1637</v>
      </c>
      <c r="D804" s="3" t="s">
        <v>1638</v>
      </c>
      <c r="E804" s="6">
        <v>2300</v>
      </c>
      <c r="F804" s="6">
        <v>4667</v>
      </c>
      <c r="G804" s="17">
        <f>ROUND(Table1[[#This Row],[pledged]]/Table1[[#This Row],[goal]]*100,2)</f>
        <v>202.91</v>
      </c>
      <c r="H804" s="5">
        <f>+Table1[[#This Row],[pledged]]/Table1[[#This Row],[goal]]</f>
        <v>2.0291304347826089</v>
      </c>
      <c r="I804" t="s">
        <v>20</v>
      </c>
      <c r="J804">
        <v>106</v>
      </c>
      <c r="K804" s="8">
        <f>IFERROR(Table1[[#This Row],[pledged]]/Table1[[#This Row],[backers_count]],"NA")</f>
        <v>44.028301886792455</v>
      </c>
      <c r="L804" t="s">
        <v>21</v>
      </c>
      <c r="M804" t="s">
        <v>22</v>
      </c>
      <c r="N804">
        <v>1577772000</v>
      </c>
      <c r="O804">
        <v>1579672800</v>
      </c>
      <c r="P804" s="11">
        <f>+(((Table1[[#This Row],[launched_at]]/60)/60)/24)+DATE(1970,1,1)</f>
        <v>43830.25</v>
      </c>
      <c r="Q804" s="11">
        <f>+(((Table1[[#This Row],[deadline]]/60)/60)/24)+DATE(1970,1,1)</f>
        <v>43852.25</v>
      </c>
      <c r="R804" t="b">
        <v>0</v>
      </c>
      <c r="S804" t="b">
        <v>1</v>
      </c>
      <c r="T804" t="s">
        <v>122</v>
      </c>
      <c r="U804" t="str">
        <f>+LEFT(Table1[[#This Row],[category &amp; sub-category]],FIND("/",Table1[[#This Row],[category &amp; sub-category]])-1)</f>
        <v>photography</v>
      </c>
      <c r="V804" t="str">
        <f>+RIGHT(Table1[[#This Row],[category &amp; sub-category]],LEN(Table1[[#This Row],[category &amp; sub-category]])-SEARCH("/",Table1[[#This Row],[category &amp; sub-category]]))</f>
        <v>photography books</v>
      </c>
    </row>
    <row r="805" spans="2:22" ht="15.75" customHeight="1" x14ac:dyDescent="0.25">
      <c r="B805">
        <v>802</v>
      </c>
      <c r="C805" t="s">
        <v>1639</v>
      </c>
      <c r="D805" s="3" t="s">
        <v>1640</v>
      </c>
      <c r="E805" s="6">
        <v>6200</v>
      </c>
      <c r="F805" s="6">
        <v>12216</v>
      </c>
      <c r="G805" s="17">
        <f>ROUND(Table1[[#This Row],[pledged]]/Table1[[#This Row],[goal]]*100,2)</f>
        <v>197.03</v>
      </c>
      <c r="H805" s="5">
        <f>+Table1[[#This Row],[pledged]]/Table1[[#This Row],[goal]]</f>
        <v>1.9703225806451612</v>
      </c>
      <c r="I805" t="s">
        <v>20</v>
      </c>
      <c r="J805">
        <v>142</v>
      </c>
      <c r="K805" s="8">
        <f>IFERROR(Table1[[#This Row],[pledged]]/Table1[[#This Row],[backers_count]],"NA")</f>
        <v>86.028169014084511</v>
      </c>
      <c r="L805" t="s">
        <v>21</v>
      </c>
      <c r="M805" t="s">
        <v>22</v>
      </c>
      <c r="N805">
        <v>1562216400</v>
      </c>
      <c r="O805">
        <v>1562389200</v>
      </c>
      <c r="P805" s="11">
        <f>+(((Table1[[#This Row],[launched_at]]/60)/60)/24)+DATE(1970,1,1)</f>
        <v>43650.208333333328</v>
      </c>
      <c r="Q805" s="11">
        <f>+(((Table1[[#This Row],[deadline]]/60)/60)/24)+DATE(1970,1,1)</f>
        <v>43652.208333333328</v>
      </c>
      <c r="R805" t="b">
        <v>0</v>
      </c>
      <c r="S805" t="b">
        <v>0</v>
      </c>
      <c r="T805" t="s">
        <v>122</v>
      </c>
      <c r="U805" t="str">
        <f>+LEFT(Table1[[#This Row],[category &amp; sub-category]],FIND("/",Table1[[#This Row],[category &amp; sub-category]])-1)</f>
        <v>photography</v>
      </c>
      <c r="V805" t="str">
        <f>+RIGHT(Table1[[#This Row],[category &amp; sub-category]],LEN(Table1[[#This Row],[category &amp; sub-category]])-SEARCH("/",Table1[[#This Row],[category &amp; sub-category]]))</f>
        <v>photography books</v>
      </c>
    </row>
    <row r="806" spans="2:22" ht="15.75" customHeight="1" x14ac:dyDescent="0.25">
      <c r="B806">
        <v>803</v>
      </c>
      <c r="C806" t="s">
        <v>1641</v>
      </c>
      <c r="D806" s="3" t="s">
        <v>1642</v>
      </c>
      <c r="E806" s="6">
        <v>6100</v>
      </c>
      <c r="F806" s="6">
        <v>6527</v>
      </c>
      <c r="G806" s="17">
        <f>ROUND(Table1[[#This Row],[pledged]]/Table1[[#This Row],[goal]]*100,2)</f>
        <v>107</v>
      </c>
      <c r="H806" s="5">
        <f>+Table1[[#This Row],[pledged]]/Table1[[#This Row],[goal]]</f>
        <v>1.07</v>
      </c>
      <c r="I806" t="s">
        <v>20</v>
      </c>
      <c r="J806">
        <v>233</v>
      </c>
      <c r="K806" s="8">
        <f>IFERROR(Table1[[#This Row],[pledged]]/Table1[[#This Row],[backers_count]],"NA")</f>
        <v>28.012875536480685</v>
      </c>
      <c r="L806" t="s">
        <v>21</v>
      </c>
      <c r="M806" t="s">
        <v>22</v>
      </c>
      <c r="N806">
        <v>1548568800</v>
      </c>
      <c r="O806">
        <v>1551506400</v>
      </c>
      <c r="P806" s="11">
        <f>+(((Table1[[#This Row],[launched_at]]/60)/60)/24)+DATE(1970,1,1)</f>
        <v>43492.25</v>
      </c>
      <c r="Q806" s="11">
        <f>+(((Table1[[#This Row],[deadline]]/60)/60)/24)+DATE(1970,1,1)</f>
        <v>43526.25</v>
      </c>
      <c r="R806" t="b">
        <v>0</v>
      </c>
      <c r="S806" t="b">
        <v>0</v>
      </c>
      <c r="T806" t="s">
        <v>33</v>
      </c>
      <c r="U806" t="str">
        <f>+LEFT(Table1[[#This Row],[category &amp; sub-category]],FIND("/",Table1[[#This Row],[category &amp; sub-category]])-1)</f>
        <v>theater</v>
      </c>
      <c r="V806" t="str">
        <f>+RIGHT(Table1[[#This Row],[category &amp; sub-category]],LEN(Table1[[#This Row],[category &amp; sub-category]])-SEARCH("/",Table1[[#This Row],[category &amp; sub-category]]))</f>
        <v>plays</v>
      </c>
    </row>
    <row r="807" spans="2:22" ht="15.75" customHeight="1" x14ac:dyDescent="0.25">
      <c r="B807">
        <v>804</v>
      </c>
      <c r="C807" t="s">
        <v>1643</v>
      </c>
      <c r="D807" s="3" t="s">
        <v>1644</v>
      </c>
      <c r="E807" s="6">
        <v>2600</v>
      </c>
      <c r="F807" s="6">
        <v>6987</v>
      </c>
      <c r="G807" s="17">
        <f>ROUND(Table1[[#This Row],[pledged]]/Table1[[#This Row],[goal]]*100,2)</f>
        <v>268.73</v>
      </c>
      <c r="H807" s="5">
        <f>+Table1[[#This Row],[pledged]]/Table1[[#This Row],[goal]]</f>
        <v>2.6873076923076922</v>
      </c>
      <c r="I807" t="s">
        <v>20</v>
      </c>
      <c r="J807">
        <v>218</v>
      </c>
      <c r="K807" s="8">
        <f>IFERROR(Table1[[#This Row],[pledged]]/Table1[[#This Row],[backers_count]],"NA")</f>
        <v>32.050458715596328</v>
      </c>
      <c r="L807" t="s">
        <v>21</v>
      </c>
      <c r="M807" t="s">
        <v>22</v>
      </c>
      <c r="N807">
        <v>1514872800</v>
      </c>
      <c r="O807">
        <v>1516600800</v>
      </c>
      <c r="P807" s="11">
        <f>+(((Table1[[#This Row],[launched_at]]/60)/60)/24)+DATE(1970,1,1)</f>
        <v>43102.25</v>
      </c>
      <c r="Q807" s="11">
        <f>+(((Table1[[#This Row],[deadline]]/60)/60)/24)+DATE(1970,1,1)</f>
        <v>43122.25</v>
      </c>
      <c r="R807" t="b">
        <v>0</v>
      </c>
      <c r="S807" t="b">
        <v>0</v>
      </c>
      <c r="T807" t="s">
        <v>23</v>
      </c>
      <c r="U807" t="str">
        <f>+LEFT(Table1[[#This Row],[category &amp; sub-category]],FIND("/",Table1[[#This Row],[category &amp; sub-category]])-1)</f>
        <v>music</v>
      </c>
      <c r="V807" t="str">
        <f>+RIGHT(Table1[[#This Row],[category &amp; sub-category]],LEN(Table1[[#This Row],[category &amp; sub-category]])-SEARCH("/",Table1[[#This Row],[category &amp; sub-category]]))</f>
        <v>rock</v>
      </c>
    </row>
    <row r="808" spans="2:22" ht="15.75" customHeight="1" x14ac:dyDescent="0.25">
      <c r="B808">
        <v>805</v>
      </c>
      <c r="C808" t="s">
        <v>1645</v>
      </c>
      <c r="D808" s="3" t="s">
        <v>1646</v>
      </c>
      <c r="E808" s="6">
        <v>9700</v>
      </c>
      <c r="F808" s="6">
        <v>4932</v>
      </c>
      <c r="G808" s="17">
        <f>ROUND(Table1[[#This Row],[pledged]]/Table1[[#This Row],[goal]]*100,2)</f>
        <v>50.85</v>
      </c>
      <c r="H808" s="5">
        <f>+Table1[[#This Row],[pledged]]/Table1[[#This Row],[goal]]</f>
        <v>0.50845360824742269</v>
      </c>
      <c r="I808" t="s">
        <v>14</v>
      </c>
      <c r="J808">
        <v>67</v>
      </c>
      <c r="K808" s="8">
        <f>IFERROR(Table1[[#This Row],[pledged]]/Table1[[#This Row],[backers_count]],"NA")</f>
        <v>73.611940298507463</v>
      </c>
      <c r="L808" t="s">
        <v>26</v>
      </c>
      <c r="M808" t="s">
        <v>27</v>
      </c>
      <c r="N808">
        <v>1416031200</v>
      </c>
      <c r="O808">
        <v>1420437600</v>
      </c>
      <c r="P808" s="11">
        <f>+(((Table1[[#This Row],[launched_at]]/60)/60)/24)+DATE(1970,1,1)</f>
        <v>41958.25</v>
      </c>
      <c r="Q808" s="11">
        <f>+(((Table1[[#This Row],[deadline]]/60)/60)/24)+DATE(1970,1,1)</f>
        <v>42009.25</v>
      </c>
      <c r="R808" t="b">
        <v>0</v>
      </c>
      <c r="S808" t="b">
        <v>0</v>
      </c>
      <c r="T808" t="s">
        <v>42</v>
      </c>
      <c r="U808" t="str">
        <f>+LEFT(Table1[[#This Row],[category &amp; sub-category]],FIND("/",Table1[[#This Row],[category &amp; sub-category]])-1)</f>
        <v>film &amp; video</v>
      </c>
      <c r="V808" t="str">
        <f>+RIGHT(Table1[[#This Row],[category &amp; sub-category]],LEN(Table1[[#This Row],[category &amp; sub-category]])-SEARCH("/",Table1[[#This Row],[category &amp; sub-category]]))</f>
        <v>documentary</v>
      </c>
    </row>
    <row r="809" spans="2:22" ht="15.75" customHeight="1" x14ac:dyDescent="0.25">
      <c r="B809">
        <v>806</v>
      </c>
      <c r="C809" t="s">
        <v>1647</v>
      </c>
      <c r="D809" s="3" t="s">
        <v>1648</v>
      </c>
      <c r="E809" s="6">
        <v>700</v>
      </c>
      <c r="F809" s="6">
        <v>8262</v>
      </c>
      <c r="G809" s="17">
        <f>ROUND(Table1[[#This Row],[pledged]]/Table1[[#This Row],[goal]]*100,2)</f>
        <v>1180.29</v>
      </c>
      <c r="H809" s="5">
        <f>+Table1[[#This Row],[pledged]]/Table1[[#This Row],[goal]]</f>
        <v>11.802857142857142</v>
      </c>
      <c r="I809" t="s">
        <v>20</v>
      </c>
      <c r="J809">
        <v>76</v>
      </c>
      <c r="K809" s="8">
        <f>IFERROR(Table1[[#This Row],[pledged]]/Table1[[#This Row],[backers_count]],"NA")</f>
        <v>108.71052631578948</v>
      </c>
      <c r="L809" t="s">
        <v>21</v>
      </c>
      <c r="M809" t="s">
        <v>22</v>
      </c>
      <c r="N809">
        <v>1330927200</v>
      </c>
      <c r="O809">
        <v>1332997200</v>
      </c>
      <c r="P809" s="11">
        <f>+(((Table1[[#This Row],[launched_at]]/60)/60)/24)+DATE(1970,1,1)</f>
        <v>40973.25</v>
      </c>
      <c r="Q809" s="11">
        <f>+(((Table1[[#This Row],[deadline]]/60)/60)/24)+DATE(1970,1,1)</f>
        <v>40997.208333333336</v>
      </c>
      <c r="R809" t="b">
        <v>0</v>
      </c>
      <c r="S809" t="b">
        <v>1</v>
      </c>
      <c r="T809" t="s">
        <v>53</v>
      </c>
      <c r="U809" t="str">
        <f>+LEFT(Table1[[#This Row],[category &amp; sub-category]],FIND("/",Table1[[#This Row],[category &amp; sub-category]])-1)</f>
        <v>film &amp; video</v>
      </c>
      <c r="V809" t="str">
        <f>+RIGHT(Table1[[#This Row],[category &amp; sub-category]],LEN(Table1[[#This Row],[category &amp; sub-category]])-SEARCH("/",Table1[[#This Row],[category &amp; sub-category]]))</f>
        <v>drama</v>
      </c>
    </row>
    <row r="810" spans="2:22" ht="15.75" customHeight="1" x14ac:dyDescent="0.25">
      <c r="B810">
        <v>807</v>
      </c>
      <c r="C810" t="s">
        <v>1649</v>
      </c>
      <c r="D810" s="3" t="s">
        <v>1650</v>
      </c>
      <c r="E810" s="6">
        <v>700</v>
      </c>
      <c r="F810" s="6">
        <v>1848</v>
      </c>
      <c r="G810" s="17">
        <f>ROUND(Table1[[#This Row],[pledged]]/Table1[[#This Row],[goal]]*100,2)</f>
        <v>264</v>
      </c>
      <c r="H810" s="5">
        <f>+Table1[[#This Row],[pledged]]/Table1[[#This Row],[goal]]</f>
        <v>2.64</v>
      </c>
      <c r="I810" t="s">
        <v>20</v>
      </c>
      <c r="J810">
        <v>43</v>
      </c>
      <c r="K810" s="8">
        <f>IFERROR(Table1[[#This Row],[pledged]]/Table1[[#This Row],[backers_count]],"NA")</f>
        <v>42.97674418604651</v>
      </c>
      <c r="L810" t="s">
        <v>21</v>
      </c>
      <c r="M810" t="s">
        <v>22</v>
      </c>
      <c r="N810">
        <v>1571115600</v>
      </c>
      <c r="O810">
        <v>1574920800</v>
      </c>
      <c r="P810" s="11">
        <f>+(((Table1[[#This Row],[launched_at]]/60)/60)/24)+DATE(1970,1,1)</f>
        <v>43753.208333333328</v>
      </c>
      <c r="Q810" s="11">
        <f>+(((Table1[[#This Row],[deadline]]/60)/60)/24)+DATE(1970,1,1)</f>
        <v>43797.25</v>
      </c>
      <c r="R810" t="b">
        <v>0</v>
      </c>
      <c r="S810" t="b">
        <v>1</v>
      </c>
      <c r="T810" t="s">
        <v>33</v>
      </c>
      <c r="U810" t="str">
        <f>+LEFT(Table1[[#This Row],[category &amp; sub-category]],FIND("/",Table1[[#This Row],[category &amp; sub-category]])-1)</f>
        <v>theater</v>
      </c>
      <c r="V810" t="str">
        <f>+RIGHT(Table1[[#This Row],[category &amp; sub-category]],LEN(Table1[[#This Row],[category &amp; sub-category]])-SEARCH("/",Table1[[#This Row],[category &amp; sub-category]]))</f>
        <v>plays</v>
      </c>
    </row>
    <row r="811" spans="2:22" ht="15.75" customHeight="1" x14ac:dyDescent="0.25">
      <c r="B811">
        <v>808</v>
      </c>
      <c r="C811" t="s">
        <v>1651</v>
      </c>
      <c r="D811" s="3" t="s">
        <v>1652</v>
      </c>
      <c r="E811" s="6">
        <v>5200</v>
      </c>
      <c r="F811" s="6">
        <v>1583</v>
      </c>
      <c r="G811" s="17">
        <f>ROUND(Table1[[#This Row],[pledged]]/Table1[[#This Row],[goal]]*100,2)</f>
        <v>30.44</v>
      </c>
      <c r="H811" s="5">
        <f>+Table1[[#This Row],[pledged]]/Table1[[#This Row],[goal]]</f>
        <v>0.30442307692307691</v>
      </c>
      <c r="I811" t="s">
        <v>14</v>
      </c>
      <c r="J811">
        <v>19</v>
      </c>
      <c r="K811" s="8">
        <f>IFERROR(Table1[[#This Row],[pledged]]/Table1[[#This Row],[backers_count]],"NA")</f>
        <v>83.315789473684205</v>
      </c>
      <c r="L811" t="s">
        <v>21</v>
      </c>
      <c r="M811" t="s">
        <v>22</v>
      </c>
      <c r="N811">
        <v>1463461200</v>
      </c>
      <c r="O811">
        <v>1464930000</v>
      </c>
      <c r="P811" s="11">
        <f>+(((Table1[[#This Row],[launched_at]]/60)/60)/24)+DATE(1970,1,1)</f>
        <v>42507.208333333328</v>
      </c>
      <c r="Q811" s="11">
        <f>+(((Table1[[#This Row],[deadline]]/60)/60)/24)+DATE(1970,1,1)</f>
        <v>42524.208333333328</v>
      </c>
      <c r="R811" t="b">
        <v>0</v>
      </c>
      <c r="S811" t="b">
        <v>0</v>
      </c>
      <c r="T811" t="s">
        <v>17</v>
      </c>
      <c r="U811" t="str">
        <f>+LEFT(Table1[[#This Row],[category &amp; sub-category]],FIND("/",Table1[[#This Row],[category &amp; sub-category]])-1)</f>
        <v>food</v>
      </c>
      <c r="V811" t="str">
        <f>+RIGHT(Table1[[#This Row],[category &amp; sub-category]],LEN(Table1[[#This Row],[category &amp; sub-category]])-SEARCH("/",Table1[[#This Row],[category &amp; sub-category]]))</f>
        <v>food trucks</v>
      </c>
    </row>
    <row r="812" spans="2:22" ht="15.75" customHeight="1" x14ac:dyDescent="0.25">
      <c r="B812">
        <v>809</v>
      </c>
      <c r="C812" t="s">
        <v>1599</v>
      </c>
      <c r="D812" s="3" t="s">
        <v>1653</v>
      </c>
      <c r="E812" s="6">
        <v>140800</v>
      </c>
      <c r="F812" s="6">
        <v>88536</v>
      </c>
      <c r="G812" s="17">
        <f>ROUND(Table1[[#This Row],[pledged]]/Table1[[#This Row],[goal]]*100,2)</f>
        <v>62.88</v>
      </c>
      <c r="H812" s="5">
        <f>+Table1[[#This Row],[pledged]]/Table1[[#This Row],[goal]]</f>
        <v>0.62880681818181816</v>
      </c>
      <c r="I812" t="s">
        <v>14</v>
      </c>
      <c r="J812">
        <v>2108</v>
      </c>
      <c r="K812" s="8">
        <f>IFERROR(Table1[[#This Row],[pledged]]/Table1[[#This Row],[backers_count]],"NA")</f>
        <v>42</v>
      </c>
      <c r="L812" t="s">
        <v>98</v>
      </c>
      <c r="M812" t="s">
        <v>99</v>
      </c>
      <c r="N812">
        <v>1344920400</v>
      </c>
      <c r="O812">
        <v>1345006800</v>
      </c>
      <c r="P812" s="11">
        <f>+(((Table1[[#This Row],[launched_at]]/60)/60)/24)+DATE(1970,1,1)</f>
        <v>41135.208333333336</v>
      </c>
      <c r="Q812" s="11">
        <f>+(((Table1[[#This Row],[deadline]]/60)/60)/24)+DATE(1970,1,1)</f>
        <v>41136.208333333336</v>
      </c>
      <c r="R812" t="b">
        <v>0</v>
      </c>
      <c r="S812" t="b">
        <v>0</v>
      </c>
      <c r="T812" t="s">
        <v>42</v>
      </c>
      <c r="U812" t="str">
        <f>+LEFT(Table1[[#This Row],[category &amp; sub-category]],FIND("/",Table1[[#This Row],[category &amp; sub-category]])-1)</f>
        <v>film &amp; video</v>
      </c>
      <c r="V812" t="str">
        <f>+RIGHT(Table1[[#This Row],[category &amp; sub-category]],LEN(Table1[[#This Row],[category &amp; sub-category]])-SEARCH("/",Table1[[#This Row],[category &amp; sub-category]]))</f>
        <v>documentary</v>
      </c>
    </row>
    <row r="813" spans="2:22" ht="15.75" customHeight="1" x14ac:dyDescent="0.25">
      <c r="B813">
        <v>810</v>
      </c>
      <c r="C813" t="s">
        <v>1654</v>
      </c>
      <c r="D813" s="3" t="s">
        <v>1655</v>
      </c>
      <c r="E813" s="6">
        <v>6400</v>
      </c>
      <c r="F813" s="6">
        <v>12360</v>
      </c>
      <c r="G813" s="17">
        <f>ROUND(Table1[[#This Row],[pledged]]/Table1[[#This Row],[goal]]*100,2)</f>
        <v>193.13</v>
      </c>
      <c r="H813" s="5">
        <f>+Table1[[#This Row],[pledged]]/Table1[[#This Row],[goal]]</f>
        <v>1.9312499999999999</v>
      </c>
      <c r="I813" t="s">
        <v>20</v>
      </c>
      <c r="J813">
        <v>221</v>
      </c>
      <c r="K813" s="8">
        <f>IFERROR(Table1[[#This Row],[pledged]]/Table1[[#This Row],[backers_count]],"NA")</f>
        <v>55.927601809954751</v>
      </c>
      <c r="L813" t="s">
        <v>21</v>
      </c>
      <c r="M813" t="s">
        <v>22</v>
      </c>
      <c r="N813">
        <v>1511848800</v>
      </c>
      <c r="O813">
        <v>1512712800</v>
      </c>
      <c r="P813" s="11">
        <f>+(((Table1[[#This Row],[launched_at]]/60)/60)/24)+DATE(1970,1,1)</f>
        <v>43067.25</v>
      </c>
      <c r="Q813" s="11">
        <f>+(((Table1[[#This Row],[deadline]]/60)/60)/24)+DATE(1970,1,1)</f>
        <v>43077.25</v>
      </c>
      <c r="R813" t="b">
        <v>0</v>
      </c>
      <c r="S813" t="b">
        <v>1</v>
      </c>
      <c r="T813" t="s">
        <v>33</v>
      </c>
      <c r="U813" t="str">
        <f>+LEFT(Table1[[#This Row],[category &amp; sub-category]],FIND("/",Table1[[#This Row],[category &amp; sub-category]])-1)</f>
        <v>theater</v>
      </c>
      <c r="V813" t="str">
        <f>+RIGHT(Table1[[#This Row],[category &amp; sub-category]],LEN(Table1[[#This Row],[category &amp; sub-category]])-SEARCH("/",Table1[[#This Row],[category &amp; sub-category]]))</f>
        <v>plays</v>
      </c>
    </row>
    <row r="814" spans="2:22" ht="15.75" customHeight="1" x14ac:dyDescent="0.25">
      <c r="B814">
        <v>811</v>
      </c>
      <c r="C814" t="s">
        <v>1656</v>
      </c>
      <c r="D814" s="3" t="s">
        <v>1657</v>
      </c>
      <c r="E814" s="6">
        <v>92500</v>
      </c>
      <c r="F814" s="6">
        <v>71320</v>
      </c>
      <c r="G814" s="17">
        <f>ROUND(Table1[[#This Row],[pledged]]/Table1[[#This Row],[goal]]*100,2)</f>
        <v>77.099999999999994</v>
      </c>
      <c r="H814" s="5">
        <f>+Table1[[#This Row],[pledged]]/Table1[[#This Row],[goal]]</f>
        <v>0.77102702702702708</v>
      </c>
      <c r="I814" t="s">
        <v>14</v>
      </c>
      <c r="J814">
        <v>679</v>
      </c>
      <c r="K814" s="8">
        <f>IFERROR(Table1[[#This Row],[pledged]]/Table1[[#This Row],[backers_count]],"NA")</f>
        <v>105.03681885125184</v>
      </c>
      <c r="L814" t="s">
        <v>21</v>
      </c>
      <c r="M814" t="s">
        <v>22</v>
      </c>
      <c r="N814">
        <v>1452319200</v>
      </c>
      <c r="O814">
        <v>1452492000</v>
      </c>
      <c r="P814" s="11">
        <f>+(((Table1[[#This Row],[launched_at]]/60)/60)/24)+DATE(1970,1,1)</f>
        <v>42378.25</v>
      </c>
      <c r="Q814" s="11">
        <f>+(((Table1[[#This Row],[deadline]]/60)/60)/24)+DATE(1970,1,1)</f>
        <v>42380.25</v>
      </c>
      <c r="R814" t="b">
        <v>0</v>
      </c>
      <c r="S814" t="b">
        <v>1</v>
      </c>
      <c r="T814" t="s">
        <v>89</v>
      </c>
      <c r="U814" t="str">
        <f>+LEFT(Table1[[#This Row],[category &amp; sub-category]],FIND("/",Table1[[#This Row],[category &amp; sub-category]])-1)</f>
        <v>games</v>
      </c>
      <c r="V814" t="str">
        <f>+RIGHT(Table1[[#This Row],[category &amp; sub-category]],LEN(Table1[[#This Row],[category &amp; sub-category]])-SEARCH("/",Table1[[#This Row],[category &amp; sub-category]]))</f>
        <v>video games</v>
      </c>
    </row>
    <row r="815" spans="2:22" ht="15.75" customHeight="1" x14ac:dyDescent="0.25">
      <c r="B815">
        <v>812</v>
      </c>
      <c r="C815" t="s">
        <v>1658</v>
      </c>
      <c r="D815" s="3" t="s">
        <v>1659</v>
      </c>
      <c r="E815" s="6">
        <v>59700</v>
      </c>
      <c r="F815" s="6">
        <v>134640</v>
      </c>
      <c r="G815" s="17">
        <f>ROUND(Table1[[#This Row],[pledged]]/Table1[[#This Row],[goal]]*100,2)</f>
        <v>225.53</v>
      </c>
      <c r="H815" s="5">
        <f>+Table1[[#This Row],[pledged]]/Table1[[#This Row],[goal]]</f>
        <v>2.2552763819095478</v>
      </c>
      <c r="I815" t="s">
        <v>20</v>
      </c>
      <c r="J815">
        <v>2805</v>
      </c>
      <c r="K815" s="8">
        <f>IFERROR(Table1[[#This Row],[pledged]]/Table1[[#This Row],[backers_count]],"NA")</f>
        <v>48</v>
      </c>
      <c r="L815" t="s">
        <v>15</v>
      </c>
      <c r="M815" t="s">
        <v>16</v>
      </c>
      <c r="N815">
        <v>1523854800</v>
      </c>
      <c r="O815">
        <v>1524286800</v>
      </c>
      <c r="P815" s="11">
        <f>+(((Table1[[#This Row],[launched_at]]/60)/60)/24)+DATE(1970,1,1)</f>
        <v>43206.208333333328</v>
      </c>
      <c r="Q815" s="11">
        <f>+(((Table1[[#This Row],[deadline]]/60)/60)/24)+DATE(1970,1,1)</f>
        <v>43211.208333333328</v>
      </c>
      <c r="R815" t="b">
        <v>0</v>
      </c>
      <c r="S815" t="b">
        <v>0</v>
      </c>
      <c r="T815" t="s">
        <v>68</v>
      </c>
      <c r="U815" t="str">
        <f>+LEFT(Table1[[#This Row],[category &amp; sub-category]],FIND("/",Table1[[#This Row],[category &amp; sub-category]])-1)</f>
        <v>publishing</v>
      </c>
      <c r="V815" t="str">
        <f>+RIGHT(Table1[[#This Row],[category &amp; sub-category]],LEN(Table1[[#This Row],[category &amp; sub-category]])-SEARCH("/",Table1[[#This Row],[category &amp; sub-category]]))</f>
        <v>nonfiction</v>
      </c>
    </row>
    <row r="816" spans="2:22" ht="15.75" customHeight="1" x14ac:dyDescent="0.25">
      <c r="B816">
        <v>813</v>
      </c>
      <c r="C816" t="s">
        <v>1660</v>
      </c>
      <c r="D816" s="3" t="s">
        <v>1661</v>
      </c>
      <c r="E816" s="6">
        <v>3200</v>
      </c>
      <c r="F816" s="6">
        <v>7661</v>
      </c>
      <c r="G816" s="17">
        <f>ROUND(Table1[[#This Row],[pledged]]/Table1[[#This Row],[goal]]*100,2)</f>
        <v>239.41</v>
      </c>
      <c r="H816" s="5">
        <f>+Table1[[#This Row],[pledged]]/Table1[[#This Row],[goal]]</f>
        <v>2.3940625</v>
      </c>
      <c r="I816" t="s">
        <v>20</v>
      </c>
      <c r="J816">
        <v>68</v>
      </c>
      <c r="K816" s="8">
        <f>IFERROR(Table1[[#This Row],[pledged]]/Table1[[#This Row],[backers_count]],"NA")</f>
        <v>112.66176470588235</v>
      </c>
      <c r="L816" t="s">
        <v>21</v>
      </c>
      <c r="M816" t="s">
        <v>22</v>
      </c>
      <c r="N816">
        <v>1346043600</v>
      </c>
      <c r="O816">
        <v>1346907600</v>
      </c>
      <c r="P816" s="11">
        <f>+(((Table1[[#This Row],[launched_at]]/60)/60)/24)+DATE(1970,1,1)</f>
        <v>41148.208333333336</v>
      </c>
      <c r="Q816" s="11">
        <f>+(((Table1[[#This Row],[deadline]]/60)/60)/24)+DATE(1970,1,1)</f>
        <v>41158.208333333336</v>
      </c>
      <c r="R816" t="b">
        <v>0</v>
      </c>
      <c r="S816" t="b">
        <v>0</v>
      </c>
      <c r="T816" t="s">
        <v>89</v>
      </c>
      <c r="U816" t="str">
        <f>+LEFT(Table1[[#This Row],[category &amp; sub-category]],FIND("/",Table1[[#This Row],[category &amp; sub-category]])-1)</f>
        <v>games</v>
      </c>
      <c r="V816" t="str">
        <f>+RIGHT(Table1[[#This Row],[category &amp; sub-category]],LEN(Table1[[#This Row],[category &amp; sub-category]])-SEARCH("/",Table1[[#This Row],[category &amp; sub-category]]))</f>
        <v>video games</v>
      </c>
    </row>
    <row r="817" spans="2:22" ht="15.75" customHeight="1" x14ac:dyDescent="0.25">
      <c r="B817">
        <v>814</v>
      </c>
      <c r="C817" t="s">
        <v>1662</v>
      </c>
      <c r="D817" s="3" t="s">
        <v>1663</v>
      </c>
      <c r="E817" s="6">
        <v>3200</v>
      </c>
      <c r="F817" s="6">
        <v>2950</v>
      </c>
      <c r="G817" s="17">
        <f>ROUND(Table1[[#This Row],[pledged]]/Table1[[#This Row],[goal]]*100,2)</f>
        <v>92.19</v>
      </c>
      <c r="H817" s="5">
        <f>+Table1[[#This Row],[pledged]]/Table1[[#This Row],[goal]]</f>
        <v>0.921875</v>
      </c>
      <c r="I817" t="s">
        <v>14</v>
      </c>
      <c r="J817">
        <v>36</v>
      </c>
      <c r="K817" s="8">
        <f>IFERROR(Table1[[#This Row],[pledged]]/Table1[[#This Row],[backers_count]],"NA")</f>
        <v>81.944444444444443</v>
      </c>
      <c r="L817" t="s">
        <v>36</v>
      </c>
      <c r="M817" t="s">
        <v>37</v>
      </c>
      <c r="N817">
        <v>1464325200</v>
      </c>
      <c r="O817">
        <v>1464498000</v>
      </c>
      <c r="P817" s="11">
        <f>+(((Table1[[#This Row],[launched_at]]/60)/60)/24)+DATE(1970,1,1)</f>
        <v>42517.208333333328</v>
      </c>
      <c r="Q817" s="11">
        <f>+(((Table1[[#This Row],[deadline]]/60)/60)/24)+DATE(1970,1,1)</f>
        <v>42519.208333333328</v>
      </c>
      <c r="R817" t="b">
        <v>0</v>
      </c>
      <c r="S817" t="b">
        <v>1</v>
      </c>
      <c r="T817" t="s">
        <v>23</v>
      </c>
      <c r="U817" t="str">
        <f>+LEFT(Table1[[#This Row],[category &amp; sub-category]],FIND("/",Table1[[#This Row],[category &amp; sub-category]])-1)</f>
        <v>music</v>
      </c>
      <c r="V817" t="str">
        <f>+RIGHT(Table1[[#This Row],[category &amp; sub-category]],LEN(Table1[[#This Row],[category &amp; sub-category]])-SEARCH("/",Table1[[#This Row],[category &amp; sub-category]]))</f>
        <v>rock</v>
      </c>
    </row>
    <row r="818" spans="2:22" ht="15.75" customHeight="1" x14ac:dyDescent="0.25">
      <c r="B818">
        <v>815</v>
      </c>
      <c r="C818" t="s">
        <v>1664</v>
      </c>
      <c r="D818" s="3" t="s">
        <v>1665</v>
      </c>
      <c r="E818" s="6">
        <v>9000</v>
      </c>
      <c r="F818" s="6">
        <v>11721</v>
      </c>
      <c r="G818" s="17">
        <f>ROUND(Table1[[#This Row],[pledged]]/Table1[[#This Row],[goal]]*100,2)</f>
        <v>130.22999999999999</v>
      </c>
      <c r="H818" s="5">
        <f>+Table1[[#This Row],[pledged]]/Table1[[#This Row],[goal]]</f>
        <v>1.3023333333333333</v>
      </c>
      <c r="I818" t="s">
        <v>20</v>
      </c>
      <c r="J818">
        <v>183</v>
      </c>
      <c r="K818" s="8">
        <f>IFERROR(Table1[[#This Row],[pledged]]/Table1[[#This Row],[backers_count]],"NA")</f>
        <v>64.049180327868854</v>
      </c>
      <c r="L818" t="s">
        <v>15</v>
      </c>
      <c r="M818" t="s">
        <v>16</v>
      </c>
      <c r="N818">
        <v>1511935200</v>
      </c>
      <c r="O818">
        <v>1514181600</v>
      </c>
      <c r="P818" s="11">
        <f>+(((Table1[[#This Row],[launched_at]]/60)/60)/24)+DATE(1970,1,1)</f>
        <v>43068.25</v>
      </c>
      <c r="Q818" s="11">
        <f>+(((Table1[[#This Row],[deadline]]/60)/60)/24)+DATE(1970,1,1)</f>
        <v>43094.25</v>
      </c>
      <c r="R818" t="b">
        <v>0</v>
      </c>
      <c r="S818" t="b">
        <v>0</v>
      </c>
      <c r="T818" t="s">
        <v>23</v>
      </c>
      <c r="U818" t="str">
        <f>+LEFT(Table1[[#This Row],[category &amp; sub-category]],FIND("/",Table1[[#This Row],[category &amp; sub-category]])-1)</f>
        <v>music</v>
      </c>
      <c r="V818" t="str">
        <f>+RIGHT(Table1[[#This Row],[category &amp; sub-category]],LEN(Table1[[#This Row],[category &amp; sub-category]])-SEARCH("/",Table1[[#This Row],[category &amp; sub-category]]))</f>
        <v>rock</v>
      </c>
    </row>
    <row r="819" spans="2:22" ht="15.75" customHeight="1" x14ac:dyDescent="0.25">
      <c r="B819">
        <v>816</v>
      </c>
      <c r="C819" t="s">
        <v>1666</v>
      </c>
      <c r="D819" s="3" t="s">
        <v>1667</v>
      </c>
      <c r="E819" s="6">
        <v>2300</v>
      </c>
      <c r="F819" s="6">
        <v>14150</v>
      </c>
      <c r="G819" s="17">
        <f>ROUND(Table1[[#This Row],[pledged]]/Table1[[#This Row],[goal]]*100,2)</f>
        <v>615.22</v>
      </c>
      <c r="H819" s="5">
        <f>+Table1[[#This Row],[pledged]]/Table1[[#This Row],[goal]]</f>
        <v>6.1521739130434785</v>
      </c>
      <c r="I819" t="s">
        <v>20</v>
      </c>
      <c r="J819">
        <v>133</v>
      </c>
      <c r="K819" s="8">
        <f>IFERROR(Table1[[#This Row],[pledged]]/Table1[[#This Row],[backers_count]],"NA")</f>
        <v>106.39097744360902</v>
      </c>
      <c r="L819" t="s">
        <v>21</v>
      </c>
      <c r="M819" t="s">
        <v>22</v>
      </c>
      <c r="N819">
        <v>1392012000</v>
      </c>
      <c r="O819">
        <v>1392184800</v>
      </c>
      <c r="P819" s="11">
        <f>+(((Table1[[#This Row],[launched_at]]/60)/60)/24)+DATE(1970,1,1)</f>
        <v>41680.25</v>
      </c>
      <c r="Q819" s="11">
        <f>+(((Table1[[#This Row],[deadline]]/60)/60)/24)+DATE(1970,1,1)</f>
        <v>41682.25</v>
      </c>
      <c r="R819" t="b">
        <v>1</v>
      </c>
      <c r="S819" t="b">
        <v>1</v>
      </c>
      <c r="T819" t="s">
        <v>33</v>
      </c>
      <c r="U819" t="str">
        <f>+LEFT(Table1[[#This Row],[category &amp; sub-category]],FIND("/",Table1[[#This Row],[category &amp; sub-category]])-1)</f>
        <v>theater</v>
      </c>
      <c r="V819" t="str">
        <f>+RIGHT(Table1[[#This Row],[category &amp; sub-category]],LEN(Table1[[#This Row],[category &amp; sub-category]])-SEARCH("/",Table1[[#This Row],[category &amp; sub-category]]))</f>
        <v>plays</v>
      </c>
    </row>
    <row r="820" spans="2:22" ht="15.75" customHeight="1" x14ac:dyDescent="0.25">
      <c r="B820">
        <v>817</v>
      </c>
      <c r="C820" t="s">
        <v>1668</v>
      </c>
      <c r="D820" s="3" t="s">
        <v>1669</v>
      </c>
      <c r="E820" s="6">
        <v>51300</v>
      </c>
      <c r="F820" s="6">
        <v>189192</v>
      </c>
      <c r="G820" s="17">
        <f>ROUND(Table1[[#This Row],[pledged]]/Table1[[#This Row],[goal]]*100,2)</f>
        <v>368.8</v>
      </c>
      <c r="H820" s="5">
        <f>+Table1[[#This Row],[pledged]]/Table1[[#This Row],[goal]]</f>
        <v>3.687953216374269</v>
      </c>
      <c r="I820" t="s">
        <v>20</v>
      </c>
      <c r="J820">
        <v>2489</v>
      </c>
      <c r="K820" s="8">
        <f>IFERROR(Table1[[#This Row],[pledged]]/Table1[[#This Row],[backers_count]],"NA")</f>
        <v>76.011249497790274</v>
      </c>
      <c r="L820" t="s">
        <v>107</v>
      </c>
      <c r="M820" t="s">
        <v>108</v>
      </c>
      <c r="N820">
        <v>1556946000</v>
      </c>
      <c r="O820">
        <v>1559365200</v>
      </c>
      <c r="P820" s="11">
        <f>+(((Table1[[#This Row],[launched_at]]/60)/60)/24)+DATE(1970,1,1)</f>
        <v>43589.208333333328</v>
      </c>
      <c r="Q820" s="11">
        <f>+(((Table1[[#This Row],[deadline]]/60)/60)/24)+DATE(1970,1,1)</f>
        <v>43617.208333333328</v>
      </c>
      <c r="R820" t="b">
        <v>0</v>
      </c>
      <c r="S820" t="b">
        <v>1</v>
      </c>
      <c r="T820" t="s">
        <v>68</v>
      </c>
      <c r="U820" t="str">
        <f>+LEFT(Table1[[#This Row],[category &amp; sub-category]],FIND("/",Table1[[#This Row],[category &amp; sub-category]])-1)</f>
        <v>publishing</v>
      </c>
      <c r="V820" t="str">
        <f>+RIGHT(Table1[[#This Row],[category &amp; sub-category]],LEN(Table1[[#This Row],[category &amp; sub-category]])-SEARCH("/",Table1[[#This Row],[category &amp; sub-category]]))</f>
        <v>nonfiction</v>
      </c>
    </row>
    <row r="821" spans="2:22" ht="15.75" customHeight="1" x14ac:dyDescent="0.25">
      <c r="B821">
        <v>818</v>
      </c>
      <c r="C821" t="s">
        <v>676</v>
      </c>
      <c r="D821" s="3" t="s">
        <v>1670</v>
      </c>
      <c r="E821" s="6">
        <v>700</v>
      </c>
      <c r="F821" s="6">
        <v>7664</v>
      </c>
      <c r="G821" s="17">
        <f>ROUND(Table1[[#This Row],[pledged]]/Table1[[#This Row],[goal]]*100,2)</f>
        <v>1094.8599999999999</v>
      </c>
      <c r="H821" s="5">
        <f>+Table1[[#This Row],[pledged]]/Table1[[#This Row],[goal]]</f>
        <v>10.948571428571428</v>
      </c>
      <c r="I821" t="s">
        <v>20</v>
      </c>
      <c r="J821">
        <v>69</v>
      </c>
      <c r="K821" s="8">
        <f>IFERROR(Table1[[#This Row],[pledged]]/Table1[[#This Row],[backers_count]],"NA")</f>
        <v>111.07246376811594</v>
      </c>
      <c r="L821" t="s">
        <v>21</v>
      </c>
      <c r="M821" t="s">
        <v>22</v>
      </c>
      <c r="N821">
        <v>1548050400</v>
      </c>
      <c r="O821">
        <v>1549173600</v>
      </c>
      <c r="P821" s="11">
        <f>+(((Table1[[#This Row],[launched_at]]/60)/60)/24)+DATE(1970,1,1)</f>
        <v>43486.25</v>
      </c>
      <c r="Q821" s="11">
        <f>+(((Table1[[#This Row],[deadline]]/60)/60)/24)+DATE(1970,1,1)</f>
        <v>43499.25</v>
      </c>
      <c r="R821" t="b">
        <v>0</v>
      </c>
      <c r="S821" t="b">
        <v>1</v>
      </c>
      <c r="T821" t="s">
        <v>33</v>
      </c>
      <c r="U821" t="str">
        <f>+LEFT(Table1[[#This Row],[category &amp; sub-category]],FIND("/",Table1[[#This Row],[category &amp; sub-category]])-1)</f>
        <v>theater</v>
      </c>
      <c r="V821" t="str">
        <f>+RIGHT(Table1[[#This Row],[category &amp; sub-category]],LEN(Table1[[#This Row],[category &amp; sub-category]])-SEARCH("/",Table1[[#This Row],[category &amp; sub-category]]))</f>
        <v>plays</v>
      </c>
    </row>
    <row r="822" spans="2:22" ht="15.75" customHeight="1" x14ac:dyDescent="0.25">
      <c r="B822">
        <v>819</v>
      </c>
      <c r="C822" t="s">
        <v>1671</v>
      </c>
      <c r="D822" s="3" t="s">
        <v>1672</v>
      </c>
      <c r="E822" s="6">
        <v>8900</v>
      </c>
      <c r="F822" s="6">
        <v>4509</v>
      </c>
      <c r="G822" s="17">
        <f>ROUND(Table1[[#This Row],[pledged]]/Table1[[#This Row],[goal]]*100,2)</f>
        <v>50.66</v>
      </c>
      <c r="H822" s="5">
        <f>+Table1[[#This Row],[pledged]]/Table1[[#This Row],[goal]]</f>
        <v>0.50662921348314605</v>
      </c>
      <c r="I822" t="s">
        <v>14</v>
      </c>
      <c r="J822">
        <v>47</v>
      </c>
      <c r="K822" s="8">
        <f>IFERROR(Table1[[#This Row],[pledged]]/Table1[[#This Row],[backers_count]],"NA")</f>
        <v>95.936170212765958</v>
      </c>
      <c r="L822" t="s">
        <v>21</v>
      </c>
      <c r="M822" t="s">
        <v>22</v>
      </c>
      <c r="N822">
        <v>1353736800</v>
      </c>
      <c r="O822">
        <v>1355032800</v>
      </c>
      <c r="P822" s="11">
        <f>+(((Table1[[#This Row],[launched_at]]/60)/60)/24)+DATE(1970,1,1)</f>
        <v>41237.25</v>
      </c>
      <c r="Q822" s="11">
        <f>+(((Table1[[#This Row],[deadline]]/60)/60)/24)+DATE(1970,1,1)</f>
        <v>41252.25</v>
      </c>
      <c r="R822" t="b">
        <v>1</v>
      </c>
      <c r="S822" t="b">
        <v>0</v>
      </c>
      <c r="T822" t="s">
        <v>89</v>
      </c>
      <c r="U822" t="str">
        <f>+LEFT(Table1[[#This Row],[category &amp; sub-category]],FIND("/",Table1[[#This Row],[category &amp; sub-category]])-1)</f>
        <v>games</v>
      </c>
      <c r="V822" t="str">
        <f>+RIGHT(Table1[[#This Row],[category &amp; sub-category]],LEN(Table1[[#This Row],[category &amp; sub-category]])-SEARCH("/",Table1[[#This Row],[category &amp; sub-category]]))</f>
        <v>video games</v>
      </c>
    </row>
    <row r="823" spans="2:22" ht="15.75" customHeight="1" x14ac:dyDescent="0.25">
      <c r="B823">
        <v>820</v>
      </c>
      <c r="C823" t="s">
        <v>1673</v>
      </c>
      <c r="D823" s="3" t="s">
        <v>1674</v>
      </c>
      <c r="E823" s="6">
        <v>1500</v>
      </c>
      <c r="F823" s="6">
        <v>12009</v>
      </c>
      <c r="G823" s="17">
        <f>ROUND(Table1[[#This Row],[pledged]]/Table1[[#This Row],[goal]]*100,2)</f>
        <v>800.6</v>
      </c>
      <c r="H823" s="5">
        <f>+Table1[[#This Row],[pledged]]/Table1[[#This Row],[goal]]</f>
        <v>8.0060000000000002</v>
      </c>
      <c r="I823" t="s">
        <v>20</v>
      </c>
      <c r="J823">
        <v>279</v>
      </c>
      <c r="K823" s="8">
        <f>IFERROR(Table1[[#This Row],[pledged]]/Table1[[#This Row],[backers_count]],"NA")</f>
        <v>43.043010752688176</v>
      </c>
      <c r="L823" t="s">
        <v>40</v>
      </c>
      <c r="M823" t="s">
        <v>41</v>
      </c>
      <c r="N823">
        <v>1532840400</v>
      </c>
      <c r="O823">
        <v>1533963600</v>
      </c>
      <c r="P823" s="11">
        <f>+(((Table1[[#This Row],[launched_at]]/60)/60)/24)+DATE(1970,1,1)</f>
        <v>43310.208333333328</v>
      </c>
      <c r="Q823" s="11">
        <f>+(((Table1[[#This Row],[deadline]]/60)/60)/24)+DATE(1970,1,1)</f>
        <v>43323.208333333328</v>
      </c>
      <c r="R823" t="b">
        <v>0</v>
      </c>
      <c r="S823" t="b">
        <v>1</v>
      </c>
      <c r="T823" t="s">
        <v>23</v>
      </c>
      <c r="U823" t="str">
        <f>+LEFT(Table1[[#This Row],[category &amp; sub-category]],FIND("/",Table1[[#This Row],[category &amp; sub-category]])-1)</f>
        <v>music</v>
      </c>
      <c r="V823" t="str">
        <f>+RIGHT(Table1[[#This Row],[category &amp; sub-category]],LEN(Table1[[#This Row],[category &amp; sub-category]])-SEARCH("/",Table1[[#This Row],[category &amp; sub-category]]))</f>
        <v>rock</v>
      </c>
    </row>
    <row r="824" spans="2:22" ht="15.75" customHeight="1" x14ac:dyDescent="0.25">
      <c r="B824">
        <v>821</v>
      </c>
      <c r="C824" t="s">
        <v>1675</v>
      </c>
      <c r="D824" s="3" t="s">
        <v>1676</v>
      </c>
      <c r="E824" s="6">
        <v>4900</v>
      </c>
      <c r="F824" s="6">
        <v>14273</v>
      </c>
      <c r="G824" s="17">
        <f>ROUND(Table1[[#This Row],[pledged]]/Table1[[#This Row],[goal]]*100,2)</f>
        <v>291.29000000000002</v>
      </c>
      <c r="H824" s="5">
        <f>+Table1[[#This Row],[pledged]]/Table1[[#This Row],[goal]]</f>
        <v>2.9128571428571428</v>
      </c>
      <c r="I824" t="s">
        <v>20</v>
      </c>
      <c r="J824">
        <v>210</v>
      </c>
      <c r="K824" s="8">
        <f>IFERROR(Table1[[#This Row],[pledged]]/Table1[[#This Row],[backers_count]],"NA")</f>
        <v>67.966666666666669</v>
      </c>
      <c r="L824" t="s">
        <v>21</v>
      </c>
      <c r="M824" t="s">
        <v>22</v>
      </c>
      <c r="N824">
        <v>1488261600</v>
      </c>
      <c r="O824">
        <v>1489381200</v>
      </c>
      <c r="P824" s="11">
        <f>+(((Table1[[#This Row],[launched_at]]/60)/60)/24)+DATE(1970,1,1)</f>
        <v>42794.25</v>
      </c>
      <c r="Q824" s="11">
        <f>+(((Table1[[#This Row],[deadline]]/60)/60)/24)+DATE(1970,1,1)</f>
        <v>42807.208333333328</v>
      </c>
      <c r="R824" t="b">
        <v>0</v>
      </c>
      <c r="S824" t="b">
        <v>0</v>
      </c>
      <c r="T824" t="s">
        <v>42</v>
      </c>
      <c r="U824" t="str">
        <f>+LEFT(Table1[[#This Row],[category &amp; sub-category]],FIND("/",Table1[[#This Row],[category &amp; sub-category]])-1)</f>
        <v>film &amp; video</v>
      </c>
      <c r="V824" t="str">
        <f>+RIGHT(Table1[[#This Row],[category &amp; sub-category]],LEN(Table1[[#This Row],[category &amp; sub-category]])-SEARCH("/",Table1[[#This Row],[category &amp; sub-category]]))</f>
        <v>documentary</v>
      </c>
    </row>
    <row r="825" spans="2:22" ht="15.75" customHeight="1" x14ac:dyDescent="0.25">
      <c r="B825">
        <v>822</v>
      </c>
      <c r="C825" t="s">
        <v>1677</v>
      </c>
      <c r="D825" s="3" t="s">
        <v>1678</v>
      </c>
      <c r="E825" s="6">
        <v>54000</v>
      </c>
      <c r="F825" s="6">
        <v>188982</v>
      </c>
      <c r="G825" s="17">
        <f>ROUND(Table1[[#This Row],[pledged]]/Table1[[#This Row],[goal]]*100,2)</f>
        <v>349.97</v>
      </c>
      <c r="H825" s="5">
        <f>+Table1[[#This Row],[pledged]]/Table1[[#This Row],[goal]]</f>
        <v>3.4996666666666667</v>
      </c>
      <c r="I825" t="s">
        <v>20</v>
      </c>
      <c r="J825">
        <v>2100</v>
      </c>
      <c r="K825" s="8">
        <f>IFERROR(Table1[[#This Row],[pledged]]/Table1[[#This Row],[backers_count]],"NA")</f>
        <v>89.991428571428571</v>
      </c>
      <c r="L825" t="s">
        <v>21</v>
      </c>
      <c r="M825" t="s">
        <v>22</v>
      </c>
      <c r="N825">
        <v>1393567200</v>
      </c>
      <c r="O825">
        <v>1395032400</v>
      </c>
      <c r="P825" s="11">
        <f>+(((Table1[[#This Row],[launched_at]]/60)/60)/24)+DATE(1970,1,1)</f>
        <v>41698.25</v>
      </c>
      <c r="Q825" s="11">
        <f>+(((Table1[[#This Row],[deadline]]/60)/60)/24)+DATE(1970,1,1)</f>
        <v>41715.208333333336</v>
      </c>
      <c r="R825" t="b">
        <v>0</v>
      </c>
      <c r="S825" t="b">
        <v>0</v>
      </c>
      <c r="T825" t="s">
        <v>23</v>
      </c>
      <c r="U825" t="str">
        <f>+LEFT(Table1[[#This Row],[category &amp; sub-category]],FIND("/",Table1[[#This Row],[category &amp; sub-category]])-1)</f>
        <v>music</v>
      </c>
      <c r="V825" t="str">
        <f>+RIGHT(Table1[[#This Row],[category &amp; sub-category]],LEN(Table1[[#This Row],[category &amp; sub-category]])-SEARCH("/",Table1[[#This Row],[category &amp; sub-category]]))</f>
        <v>rock</v>
      </c>
    </row>
    <row r="826" spans="2:22" ht="15.75" customHeight="1" x14ac:dyDescent="0.25">
      <c r="B826">
        <v>823</v>
      </c>
      <c r="C826" t="s">
        <v>1679</v>
      </c>
      <c r="D826" s="3" t="s">
        <v>1680</v>
      </c>
      <c r="E826" s="6">
        <v>4100</v>
      </c>
      <c r="F826" s="6">
        <v>14640</v>
      </c>
      <c r="G826" s="17">
        <f>ROUND(Table1[[#This Row],[pledged]]/Table1[[#This Row],[goal]]*100,2)</f>
        <v>357.07</v>
      </c>
      <c r="H826" s="5">
        <f>+Table1[[#This Row],[pledged]]/Table1[[#This Row],[goal]]</f>
        <v>3.5707317073170732</v>
      </c>
      <c r="I826" t="s">
        <v>20</v>
      </c>
      <c r="J826">
        <v>252</v>
      </c>
      <c r="K826" s="8">
        <f>IFERROR(Table1[[#This Row],[pledged]]/Table1[[#This Row],[backers_count]],"NA")</f>
        <v>58.095238095238095</v>
      </c>
      <c r="L826" t="s">
        <v>21</v>
      </c>
      <c r="M826" t="s">
        <v>22</v>
      </c>
      <c r="N826">
        <v>1410325200</v>
      </c>
      <c r="O826">
        <v>1412485200</v>
      </c>
      <c r="P826" s="11">
        <f>+(((Table1[[#This Row],[launched_at]]/60)/60)/24)+DATE(1970,1,1)</f>
        <v>41892.208333333336</v>
      </c>
      <c r="Q826" s="11">
        <f>+(((Table1[[#This Row],[deadline]]/60)/60)/24)+DATE(1970,1,1)</f>
        <v>41917.208333333336</v>
      </c>
      <c r="R826" t="b">
        <v>1</v>
      </c>
      <c r="S826" t="b">
        <v>1</v>
      </c>
      <c r="T826" t="s">
        <v>23</v>
      </c>
      <c r="U826" t="str">
        <f>+LEFT(Table1[[#This Row],[category &amp; sub-category]],FIND("/",Table1[[#This Row],[category &amp; sub-category]])-1)</f>
        <v>music</v>
      </c>
      <c r="V826" t="str">
        <f>+RIGHT(Table1[[#This Row],[category &amp; sub-category]],LEN(Table1[[#This Row],[category &amp; sub-category]])-SEARCH("/",Table1[[#This Row],[category &amp; sub-category]]))</f>
        <v>rock</v>
      </c>
    </row>
    <row r="827" spans="2:22" ht="15.75" customHeight="1" x14ac:dyDescent="0.25">
      <c r="B827">
        <v>824</v>
      </c>
      <c r="C827" t="s">
        <v>1681</v>
      </c>
      <c r="D827" s="3" t="s">
        <v>1682</v>
      </c>
      <c r="E827" s="6">
        <v>85000</v>
      </c>
      <c r="F827" s="6">
        <v>107516</v>
      </c>
      <c r="G827" s="17">
        <f>ROUND(Table1[[#This Row],[pledged]]/Table1[[#This Row],[goal]]*100,2)</f>
        <v>126.49</v>
      </c>
      <c r="H827" s="5">
        <f>+Table1[[#This Row],[pledged]]/Table1[[#This Row],[goal]]</f>
        <v>1.2648941176470587</v>
      </c>
      <c r="I827" t="s">
        <v>20</v>
      </c>
      <c r="J827">
        <v>1280</v>
      </c>
      <c r="K827" s="8">
        <f>IFERROR(Table1[[#This Row],[pledged]]/Table1[[#This Row],[backers_count]],"NA")</f>
        <v>83.996875000000003</v>
      </c>
      <c r="L827" t="s">
        <v>21</v>
      </c>
      <c r="M827" t="s">
        <v>22</v>
      </c>
      <c r="N827">
        <v>1276923600</v>
      </c>
      <c r="O827">
        <v>1279688400</v>
      </c>
      <c r="P827" s="11">
        <f>+(((Table1[[#This Row],[launched_at]]/60)/60)/24)+DATE(1970,1,1)</f>
        <v>40348.208333333336</v>
      </c>
      <c r="Q827" s="11">
        <f>+(((Table1[[#This Row],[deadline]]/60)/60)/24)+DATE(1970,1,1)</f>
        <v>40380.208333333336</v>
      </c>
      <c r="R827" t="b">
        <v>0</v>
      </c>
      <c r="S827" t="b">
        <v>1</v>
      </c>
      <c r="T827" t="s">
        <v>68</v>
      </c>
      <c r="U827" t="str">
        <f>+LEFT(Table1[[#This Row],[category &amp; sub-category]],FIND("/",Table1[[#This Row],[category &amp; sub-category]])-1)</f>
        <v>publishing</v>
      </c>
      <c r="V827" t="str">
        <f>+RIGHT(Table1[[#This Row],[category &amp; sub-category]],LEN(Table1[[#This Row],[category &amp; sub-category]])-SEARCH("/",Table1[[#This Row],[category &amp; sub-category]]))</f>
        <v>nonfiction</v>
      </c>
    </row>
    <row r="828" spans="2:22" ht="15.75" customHeight="1" x14ac:dyDescent="0.25">
      <c r="B828">
        <v>825</v>
      </c>
      <c r="C828" t="s">
        <v>1683</v>
      </c>
      <c r="D828" s="3" t="s">
        <v>1684</v>
      </c>
      <c r="E828" s="6">
        <v>3600</v>
      </c>
      <c r="F828" s="6">
        <v>13950</v>
      </c>
      <c r="G828" s="17">
        <f>ROUND(Table1[[#This Row],[pledged]]/Table1[[#This Row],[goal]]*100,2)</f>
        <v>387.5</v>
      </c>
      <c r="H828" s="5">
        <f>+Table1[[#This Row],[pledged]]/Table1[[#This Row],[goal]]</f>
        <v>3.875</v>
      </c>
      <c r="I828" t="s">
        <v>20</v>
      </c>
      <c r="J828">
        <v>157</v>
      </c>
      <c r="K828" s="8">
        <f>IFERROR(Table1[[#This Row],[pledged]]/Table1[[#This Row],[backers_count]],"NA")</f>
        <v>88.853503184713375</v>
      </c>
      <c r="L828" t="s">
        <v>40</v>
      </c>
      <c r="M828" t="s">
        <v>41</v>
      </c>
      <c r="N828">
        <v>1500958800</v>
      </c>
      <c r="O828">
        <v>1501995600</v>
      </c>
      <c r="P828" s="11">
        <f>+(((Table1[[#This Row],[launched_at]]/60)/60)/24)+DATE(1970,1,1)</f>
        <v>42941.208333333328</v>
      </c>
      <c r="Q828" s="11">
        <f>+(((Table1[[#This Row],[deadline]]/60)/60)/24)+DATE(1970,1,1)</f>
        <v>42953.208333333328</v>
      </c>
      <c r="R828" t="b">
        <v>0</v>
      </c>
      <c r="S828" t="b">
        <v>0</v>
      </c>
      <c r="T828" t="s">
        <v>100</v>
      </c>
      <c r="U828" t="str">
        <f>+LEFT(Table1[[#This Row],[category &amp; sub-category]],FIND("/",Table1[[#This Row],[category &amp; sub-category]])-1)</f>
        <v>film &amp; video</v>
      </c>
      <c r="V828" t="str">
        <f>+RIGHT(Table1[[#This Row],[category &amp; sub-category]],LEN(Table1[[#This Row],[category &amp; sub-category]])-SEARCH("/",Table1[[#This Row],[category &amp; sub-category]]))</f>
        <v>shorts</v>
      </c>
    </row>
    <row r="829" spans="2:22" ht="15.75" customHeight="1" x14ac:dyDescent="0.25">
      <c r="B829">
        <v>826</v>
      </c>
      <c r="C829" t="s">
        <v>1685</v>
      </c>
      <c r="D829" s="3" t="s">
        <v>1686</v>
      </c>
      <c r="E829" s="6">
        <v>2800</v>
      </c>
      <c r="F829" s="6">
        <v>12797</v>
      </c>
      <c r="G829" s="17">
        <f>ROUND(Table1[[#This Row],[pledged]]/Table1[[#This Row],[goal]]*100,2)</f>
        <v>457.04</v>
      </c>
      <c r="H829" s="5">
        <f>+Table1[[#This Row],[pledged]]/Table1[[#This Row],[goal]]</f>
        <v>4.5703571428571426</v>
      </c>
      <c r="I829" t="s">
        <v>20</v>
      </c>
      <c r="J829">
        <v>194</v>
      </c>
      <c r="K829" s="8">
        <f>IFERROR(Table1[[#This Row],[pledged]]/Table1[[#This Row],[backers_count]],"NA")</f>
        <v>65.963917525773198</v>
      </c>
      <c r="L829" t="s">
        <v>21</v>
      </c>
      <c r="M829" t="s">
        <v>22</v>
      </c>
      <c r="N829">
        <v>1292220000</v>
      </c>
      <c r="O829">
        <v>1294639200</v>
      </c>
      <c r="P829" s="11">
        <f>+(((Table1[[#This Row],[launched_at]]/60)/60)/24)+DATE(1970,1,1)</f>
        <v>40525.25</v>
      </c>
      <c r="Q829" s="11">
        <f>+(((Table1[[#This Row],[deadline]]/60)/60)/24)+DATE(1970,1,1)</f>
        <v>40553.25</v>
      </c>
      <c r="R829" t="b">
        <v>0</v>
      </c>
      <c r="S829" t="b">
        <v>1</v>
      </c>
      <c r="T829" t="s">
        <v>33</v>
      </c>
      <c r="U829" t="str">
        <f>+LEFT(Table1[[#This Row],[category &amp; sub-category]],FIND("/",Table1[[#This Row],[category &amp; sub-category]])-1)</f>
        <v>theater</v>
      </c>
      <c r="V829" t="str">
        <f>+RIGHT(Table1[[#This Row],[category &amp; sub-category]],LEN(Table1[[#This Row],[category &amp; sub-category]])-SEARCH("/",Table1[[#This Row],[category &amp; sub-category]]))</f>
        <v>plays</v>
      </c>
    </row>
    <row r="830" spans="2:22" ht="15.75" customHeight="1" x14ac:dyDescent="0.25">
      <c r="B830">
        <v>827</v>
      </c>
      <c r="C830" t="s">
        <v>1687</v>
      </c>
      <c r="D830" s="3" t="s">
        <v>1688</v>
      </c>
      <c r="E830" s="6">
        <v>2300</v>
      </c>
      <c r="F830" s="6">
        <v>6134</v>
      </c>
      <c r="G830" s="17">
        <f>ROUND(Table1[[#This Row],[pledged]]/Table1[[#This Row],[goal]]*100,2)</f>
        <v>266.7</v>
      </c>
      <c r="H830" s="5">
        <f>+Table1[[#This Row],[pledged]]/Table1[[#This Row],[goal]]</f>
        <v>2.6669565217391304</v>
      </c>
      <c r="I830" t="s">
        <v>20</v>
      </c>
      <c r="J830">
        <v>82</v>
      </c>
      <c r="K830" s="8">
        <f>IFERROR(Table1[[#This Row],[pledged]]/Table1[[#This Row],[backers_count]],"NA")</f>
        <v>74.804878048780495</v>
      </c>
      <c r="L830" t="s">
        <v>26</v>
      </c>
      <c r="M830" t="s">
        <v>27</v>
      </c>
      <c r="N830">
        <v>1304398800</v>
      </c>
      <c r="O830">
        <v>1305435600</v>
      </c>
      <c r="P830" s="11">
        <f>+(((Table1[[#This Row],[launched_at]]/60)/60)/24)+DATE(1970,1,1)</f>
        <v>40666.208333333336</v>
      </c>
      <c r="Q830" s="11">
        <f>+(((Table1[[#This Row],[deadline]]/60)/60)/24)+DATE(1970,1,1)</f>
        <v>40678.208333333336</v>
      </c>
      <c r="R830" t="b">
        <v>0</v>
      </c>
      <c r="S830" t="b">
        <v>1</v>
      </c>
      <c r="T830" t="s">
        <v>53</v>
      </c>
      <c r="U830" t="str">
        <f>+LEFT(Table1[[#This Row],[category &amp; sub-category]],FIND("/",Table1[[#This Row],[category &amp; sub-category]])-1)</f>
        <v>film &amp; video</v>
      </c>
      <c r="V830" t="str">
        <f>+RIGHT(Table1[[#This Row],[category &amp; sub-category]],LEN(Table1[[#This Row],[category &amp; sub-category]])-SEARCH("/",Table1[[#This Row],[category &amp; sub-category]]))</f>
        <v>drama</v>
      </c>
    </row>
    <row r="831" spans="2:22" ht="15.75" customHeight="1" x14ac:dyDescent="0.25">
      <c r="B831">
        <v>828</v>
      </c>
      <c r="C831" t="s">
        <v>1689</v>
      </c>
      <c r="D831" s="3" t="s">
        <v>1690</v>
      </c>
      <c r="E831" s="6">
        <v>7100</v>
      </c>
      <c r="F831" s="6">
        <v>4899</v>
      </c>
      <c r="G831" s="17">
        <f>ROUND(Table1[[#This Row],[pledged]]/Table1[[#This Row],[goal]]*100,2)</f>
        <v>69</v>
      </c>
      <c r="H831" s="5">
        <f>+Table1[[#This Row],[pledged]]/Table1[[#This Row],[goal]]</f>
        <v>0.69</v>
      </c>
      <c r="I831" t="s">
        <v>14</v>
      </c>
      <c r="J831">
        <v>70</v>
      </c>
      <c r="K831" s="8">
        <f>IFERROR(Table1[[#This Row],[pledged]]/Table1[[#This Row],[backers_count]],"NA")</f>
        <v>69.98571428571428</v>
      </c>
      <c r="L831" t="s">
        <v>21</v>
      </c>
      <c r="M831" t="s">
        <v>22</v>
      </c>
      <c r="N831">
        <v>1535432400</v>
      </c>
      <c r="O831">
        <v>1537592400</v>
      </c>
      <c r="P831" s="11">
        <f>+(((Table1[[#This Row],[launched_at]]/60)/60)/24)+DATE(1970,1,1)</f>
        <v>43340.208333333328</v>
      </c>
      <c r="Q831" s="11">
        <f>+(((Table1[[#This Row],[deadline]]/60)/60)/24)+DATE(1970,1,1)</f>
        <v>43365.208333333328</v>
      </c>
      <c r="R831" t="b">
        <v>0</v>
      </c>
      <c r="S831" t="b">
        <v>0</v>
      </c>
      <c r="T831" t="s">
        <v>33</v>
      </c>
      <c r="U831" t="str">
        <f>+LEFT(Table1[[#This Row],[category &amp; sub-category]],FIND("/",Table1[[#This Row],[category &amp; sub-category]])-1)</f>
        <v>theater</v>
      </c>
      <c r="V831" t="str">
        <f>+RIGHT(Table1[[#This Row],[category &amp; sub-category]],LEN(Table1[[#This Row],[category &amp; sub-category]])-SEARCH("/",Table1[[#This Row],[category &amp; sub-category]]))</f>
        <v>plays</v>
      </c>
    </row>
    <row r="832" spans="2:22" ht="15.75" customHeight="1" x14ac:dyDescent="0.25">
      <c r="B832">
        <v>829</v>
      </c>
      <c r="C832" t="s">
        <v>1691</v>
      </c>
      <c r="D832" s="3" t="s">
        <v>1692</v>
      </c>
      <c r="E832" s="6">
        <v>9600</v>
      </c>
      <c r="F832" s="6">
        <v>4929</v>
      </c>
      <c r="G832" s="17">
        <f>ROUND(Table1[[#This Row],[pledged]]/Table1[[#This Row],[goal]]*100,2)</f>
        <v>51.34</v>
      </c>
      <c r="H832" s="5">
        <f>+Table1[[#This Row],[pledged]]/Table1[[#This Row],[goal]]</f>
        <v>0.51343749999999999</v>
      </c>
      <c r="I832" t="s">
        <v>14</v>
      </c>
      <c r="J832">
        <v>154</v>
      </c>
      <c r="K832" s="8">
        <f>IFERROR(Table1[[#This Row],[pledged]]/Table1[[#This Row],[backers_count]],"NA")</f>
        <v>32.006493506493506</v>
      </c>
      <c r="L832" t="s">
        <v>21</v>
      </c>
      <c r="M832" t="s">
        <v>22</v>
      </c>
      <c r="N832">
        <v>1433826000</v>
      </c>
      <c r="O832">
        <v>1435122000</v>
      </c>
      <c r="P832" s="11">
        <f>+(((Table1[[#This Row],[launched_at]]/60)/60)/24)+DATE(1970,1,1)</f>
        <v>42164.208333333328</v>
      </c>
      <c r="Q832" s="11">
        <f>+(((Table1[[#This Row],[deadline]]/60)/60)/24)+DATE(1970,1,1)</f>
        <v>42179.208333333328</v>
      </c>
      <c r="R832" t="b">
        <v>0</v>
      </c>
      <c r="S832" t="b">
        <v>0</v>
      </c>
      <c r="T832" t="s">
        <v>33</v>
      </c>
      <c r="U832" t="str">
        <f>+LEFT(Table1[[#This Row],[category &amp; sub-category]],FIND("/",Table1[[#This Row],[category &amp; sub-category]])-1)</f>
        <v>theater</v>
      </c>
      <c r="V832" t="str">
        <f>+RIGHT(Table1[[#This Row],[category &amp; sub-category]],LEN(Table1[[#This Row],[category &amp; sub-category]])-SEARCH("/",Table1[[#This Row],[category &amp; sub-category]]))</f>
        <v>plays</v>
      </c>
    </row>
    <row r="833" spans="2:22" ht="15.75" customHeight="1" x14ac:dyDescent="0.25">
      <c r="B833">
        <v>830</v>
      </c>
      <c r="C833" t="s">
        <v>1693</v>
      </c>
      <c r="D833" s="3" t="s">
        <v>1694</v>
      </c>
      <c r="E833" s="6">
        <v>121600</v>
      </c>
      <c r="F833" s="6">
        <v>1424</v>
      </c>
      <c r="G833" s="17">
        <f>ROUND(Table1[[#This Row],[pledged]]/Table1[[#This Row],[goal]]*100,2)</f>
        <v>1.17</v>
      </c>
      <c r="H833" s="5">
        <f>+Table1[[#This Row],[pledged]]/Table1[[#This Row],[goal]]</f>
        <v>1.1710526315789473E-2</v>
      </c>
      <c r="I833" t="s">
        <v>14</v>
      </c>
      <c r="J833">
        <v>22</v>
      </c>
      <c r="K833" s="8">
        <f>IFERROR(Table1[[#This Row],[pledged]]/Table1[[#This Row],[backers_count]],"NA")</f>
        <v>64.727272727272734</v>
      </c>
      <c r="L833" t="s">
        <v>21</v>
      </c>
      <c r="M833" t="s">
        <v>22</v>
      </c>
      <c r="N833">
        <v>1514959200</v>
      </c>
      <c r="O833">
        <v>1520056800</v>
      </c>
      <c r="P833" s="11">
        <f>+(((Table1[[#This Row],[launched_at]]/60)/60)/24)+DATE(1970,1,1)</f>
        <v>43103.25</v>
      </c>
      <c r="Q833" s="11">
        <f>+(((Table1[[#This Row],[deadline]]/60)/60)/24)+DATE(1970,1,1)</f>
        <v>43162.25</v>
      </c>
      <c r="R833" t="b">
        <v>0</v>
      </c>
      <c r="S833" t="b">
        <v>0</v>
      </c>
      <c r="T833" t="s">
        <v>33</v>
      </c>
      <c r="U833" t="str">
        <f>+LEFT(Table1[[#This Row],[category &amp; sub-category]],FIND("/",Table1[[#This Row],[category &amp; sub-category]])-1)</f>
        <v>theater</v>
      </c>
      <c r="V833" t="str">
        <f>+RIGHT(Table1[[#This Row],[category &amp; sub-category]],LEN(Table1[[#This Row],[category &amp; sub-category]])-SEARCH("/",Table1[[#This Row],[category &amp; sub-category]]))</f>
        <v>plays</v>
      </c>
    </row>
    <row r="834" spans="2:22" ht="15.75" customHeight="1" x14ac:dyDescent="0.25">
      <c r="B834">
        <v>831</v>
      </c>
      <c r="C834" t="s">
        <v>1695</v>
      </c>
      <c r="D834" s="3" t="s">
        <v>1696</v>
      </c>
      <c r="E834" s="6">
        <v>97100</v>
      </c>
      <c r="F834" s="6">
        <v>105817</v>
      </c>
      <c r="G834" s="17">
        <f>ROUND(Table1[[#This Row],[pledged]]/Table1[[#This Row],[goal]]*100,2)</f>
        <v>108.98</v>
      </c>
      <c r="H834" s="5">
        <f>+Table1[[#This Row],[pledged]]/Table1[[#This Row],[goal]]</f>
        <v>1.089773429454171</v>
      </c>
      <c r="I834" t="s">
        <v>20</v>
      </c>
      <c r="J834">
        <v>4233</v>
      </c>
      <c r="K834" s="8">
        <f>IFERROR(Table1[[#This Row],[pledged]]/Table1[[#This Row],[backers_count]],"NA")</f>
        <v>24.998110087408456</v>
      </c>
      <c r="L834" t="s">
        <v>21</v>
      </c>
      <c r="M834" t="s">
        <v>22</v>
      </c>
      <c r="N834">
        <v>1332738000</v>
      </c>
      <c r="O834">
        <v>1335675600</v>
      </c>
      <c r="P834" s="11">
        <f>+(((Table1[[#This Row],[launched_at]]/60)/60)/24)+DATE(1970,1,1)</f>
        <v>40994.208333333336</v>
      </c>
      <c r="Q834" s="11">
        <f>+(((Table1[[#This Row],[deadline]]/60)/60)/24)+DATE(1970,1,1)</f>
        <v>41028.208333333336</v>
      </c>
      <c r="R834" t="b">
        <v>0</v>
      </c>
      <c r="S834" t="b">
        <v>0</v>
      </c>
      <c r="T834" t="s">
        <v>122</v>
      </c>
      <c r="U834" t="str">
        <f>+LEFT(Table1[[#This Row],[category &amp; sub-category]],FIND("/",Table1[[#This Row],[category &amp; sub-category]])-1)</f>
        <v>photography</v>
      </c>
      <c r="V834" t="str">
        <f>+RIGHT(Table1[[#This Row],[category &amp; sub-category]],LEN(Table1[[#This Row],[category &amp; sub-category]])-SEARCH("/",Table1[[#This Row],[category &amp; sub-category]]))</f>
        <v>photography books</v>
      </c>
    </row>
    <row r="835" spans="2:22" ht="15.75" customHeight="1" x14ac:dyDescent="0.25">
      <c r="B835">
        <v>832</v>
      </c>
      <c r="C835" t="s">
        <v>1697</v>
      </c>
      <c r="D835" s="3" t="s">
        <v>1698</v>
      </c>
      <c r="E835" s="6">
        <v>43200</v>
      </c>
      <c r="F835" s="6">
        <v>136156</v>
      </c>
      <c r="G835" s="17">
        <f>ROUND(Table1[[#This Row],[pledged]]/Table1[[#This Row],[goal]]*100,2)</f>
        <v>315.18</v>
      </c>
      <c r="H835" s="5">
        <f>+Table1[[#This Row],[pledged]]/Table1[[#This Row],[goal]]</f>
        <v>3.1517592592592591</v>
      </c>
      <c r="I835" t="s">
        <v>20</v>
      </c>
      <c r="J835">
        <v>1297</v>
      </c>
      <c r="K835" s="8">
        <f>IFERROR(Table1[[#This Row],[pledged]]/Table1[[#This Row],[backers_count]],"NA")</f>
        <v>104.97764070932922</v>
      </c>
      <c r="L835" t="s">
        <v>36</v>
      </c>
      <c r="M835" t="s">
        <v>37</v>
      </c>
      <c r="N835">
        <v>1445490000</v>
      </c>
      <c r="O835">
        <v>1448431200</v>
      </c>
      <c r="P835" s="11">
        <f>+(((Table1[[#This Row],[launched_at]]/60)/60)/24)+DATE(1970,1,1)</f>
        <v>42299.208333333328</v>
      </c>
      <c r="Q835" s="11">
        <f>+(((Table1[[#This Row],[deadline]]/60)/60)/24)+DATE(1970,1,1)</f>
        <v>42333.25</v>
      </c>
      <c r="R835" t="b">
        <v>1</v>
      </c>
      <c r="S835" t="b">
        <v>0</v>
      </c>
      <c r="T835" t="s">
        <v>206</v>
      </c>
      <c r="U835" t="str">
        <f>+LEFT(Table1[[#This Row],[category &amp; sub-category]],FIND("/",Table1[[#This Row],[category &amp; sub-category]])-1)</f>
        <v>publishing</v>
      </c>
      <c r="V835" t="str">
        <f>+RIGHT(Table1[[#This Row],[category &amp; sub-category]],LEN(Table1[[#This Row],[category &amp; sub-category]])-SEARCH("/",Table1[[#This Row],[category &amp; sub-category]]))</f>
        <v>translations</v>
      </c>
    </row>
    <row r="836" spans="2:22" ht="15.75" customHeight="1" x14ac:dyDescent="0.25">
      <c r="B836">
        <v>833</v>
      </c>
      <c r="C836" t="s">
        <v>1699</v>
      </c>
      <c r="D836" s="3" t="s">
        <v>1700</v>
      </c>
      <c r="E836" s="6">
        <v>6800</v>
      </c>
      <c r="F836" s="6">
        <v>10723</v>
      </c>
      <c r="G836" s="17">
        <f>ROUND(Table1[[#This Row],[pledged]]/Table1[[#This Row],[goal]]*100,2)</f>
        <v>157.69</v>
      </c>
      <c r="H836" s="5">
        <f>+Table1[[#This Row],[pledged]]/Table1[[#This Row],[goal]]</f>
        <v>1.5769117647058823</v>
      </c>
      <c r="I836" t="s">
        <v>20</v>
      </c>
      <c r="J836">
        <v>165</v>
      </c>
      <c r="K836" s="8">
        <f>IFERROR(Table1[[#This Row],[pledged]]/Table1[[#This Row],[backers_count]],"NA")</f>
        <v>64.987878787878785</v>
      </c>
      <c r="L836" t="s">
        <v>36</v>
      </c>
      <c r="M836" t="s">
        <v>37</v>
      </c>
      <c r="N836">
        <v>1297663200</v>
      </c>
      <c r="O836">
        <v>1298613600</v>
      </c>
      <c r="P836" s="11">
        <f>+(((Table1[[#This Row],[launched_at]]/60)/60)/24)+DATE(1970,1,1)</f>
        <v>40588.25</v>
      </c>
      <c r="Q836" s="11">
        <f>+(((Table1[[#This Row],[deadline]]/60)/60)/24)+DATE(1970,1,1)</f>
        <v>40599.25</v>
      </c>
      <c r="R836" t="b">
        <v>0</v>
      </c>
      <c r="S836" t="b">
        <v>0</v>
      </c>
      <c r="T836" t="s">
        <v>206</v>
      </c>
      <c r="U836" t="str">
        <f>+LEFT(Table1[[#This Row],[category &amp; sub-category]],FIND("/",Table1[[#This Row],[category &amp; sub-category]])-1)</f>
        <v>publishing</v>
      </c>
      <c r="V836" t="str">
        <f>+RIGHT(Table1[[#This Row],[category &amp; sub-category]],LEN(Table1[[#This Row],[category &amp; sub-category]])-SEARCH("/",Table1[[#This Row],[category &amp; sub-category]]))</f>
        <v>translations</v>
      </c>
    </row>
    <row r="837" spans="2:22" ht="15.75" customHeight="1" x14ac:dyDescent="0.25">
      <c r="B837">
        <v>834</v>
      </c>
      <c r="C837" t="s">
        <v>1701</v>
      </c>
      <c r="D837" s="3" t="s">
        <v>1702</v>
      </c>
      <c r="E837" s="6">
        <v>7300</v>
      </c>
      <c r="F837" s="6">
        <v>11228</v>
      </c>
      <c r="G837" s="17">
        <f>ROUND(Table1[[#This Row],[pledged]]/Table1[[#This Row],[goal]]*100,2)</f>
        <v>153.81</v>
      </c>
      <c r="H837" s="5">
        <f>+Table1[[#This Row],[pledged]]/Table1[[#This Row],[goal]]</f>
        <v>1.5380821917808218</v>
      </c>
      <c r="I837" t="s">
        <v>20</v>
      </c>
      <c r="J837">
        <v>119</v>
      </c>
      <c r="K837" s="8">
        <f>IFERROR(Table1[[#This Row],[pledged]]/Table1[[#This Row],[backers_count]],"NA")</f>
        <v>94.352941176470594</v>
      </c>
      <c r="L837" t="s">
        <v>21</v>
      </c>
      <c r="M837" t="s">
        <v>22</v>
      </c>
      <c r="N837">
        <v>1371963600</v>
      </c>
      <c r="O837">
        <v>1372482000</v>
      </c>
      <c r="P837" s="11">
        <f>+(((Table1[[#This Row],[launched_at]]/60)/60)/24)+DATE(1970,1,1)</f>
        <v>41448.208333333336</v>
      </c>
      <c r="Q837" s="11">
        <f>+(((Table1[[#This Row],[deadline]]/60)/60)/24)+DATE(1970,1,1)</f>
        <v>41454.208333333336</v>
      </c>
      <c r="R837" t="b">
        <v>0</v>
      </c>
      <c r="S837" t="b">
        <v>0</v>
      </c>
      <c r="T837" t="s">
        <v>33</v>
      </c>
      <c r="U837" t="str">
        <f>+LEFT(Table1[[#This Row],[category &amp; sub-category]],FIND("/",Table1[[#This Row],[category &amp; sub-category]])-1)</f>
        <v>theater</v>
      </c>
      <c r="V837" t="str">
        <f>+RIGHT(Table1[[#This Row],[category &amp; sub-category]],LEN(Table1[[#This Row],[category &amp; sub-category]])-SEARCH("/",Table1[[#This Row],[category &amp; sub-category]]))</f>
        <v>plays</v>
      </c>
    </row>
    <row r="838" spans="2:22" ht="15.75" customHeight="1" x14ac:dyDescent="0.25">
      <c r="B838">
        <v>835</v>
      </c>
      <c r="C838" t="s">
        <v>1703</v>
      </c>
      <c r="D838" s="3" t="s">
        <v>1704</v>
      </c>
      <c r="E838" s="6">
        <v>86200</v>
      </c>
      <c r="F838" s="6">
        <v>77355</v>
      </c>
      <c r="G838" s="17">
        <f>ROUND(Table1[[#This Row],[pledged]]/Table1[[#This Row],[goal]]*100,2)</f>
        <v>89.74</v>
      </c>
      <c r="H838" s="5">
        <f>+Table1[[#This Row],[pledged]]/Table1[[#This Row],[goal]]</f>
        <v>0.89738979118329465</v>
      </c>
      <c r="I838" t="s">
        <v>14</v>
      </c>
      <c r="J838">
        <v>1758</v>
      </c>
      <c r="K838" s="8">
        <f>IFERROR(Table1[[#This Row],[pledged]]/Table1[[#This Row],[backers_count]],"NA")</f>
        <v>44.001706484641637</v>
      </c>
      <c r="L838" t="s">
        <v>21</v>
      </c>
      <c r="M838" t="s">
        <v>22</v>
      </c>
      <c r="N838">
        <v>1425103200</v>
      </c>
      <c r="O838">
        <v>1425621600</v>
      </c>
      <c r="P838" s="11">
        <f>+(((Table1[[#This Row],[launched_at]]/60)/60)/24)+DATE(1970,1,1)</f>
        <v>42063.25</v>
      </c>
      <c r="Q838" s="11">
        <f>+(((Table1[[#This Row],[deadline]]/60)/60)/24)+DATE(1970,1,1)</f>
        <v>42069.25</v>
      </c>
      <c r="R838" t="b">
        <v>0</v>
      </c>
      <c r="S838" t="b">
        <v>0</v>
      </c>
      <c r="T838" t="s">
        <v>28</v>
      </c>
      <c r="U838" t="str">
        <f>+LEFT(Table1[[#This Row],[category &amp; sub-category]],FIND("/",Table1[[#This Row],[category &amp; sub-category]])-1)</f>
        <v>technology</v>
      </c>
      <c r="V838" t="str">
        <f>+RIGHT(Table1[[#This Row],[category &amp; sub-category]],LEN(Table1[[#This Row],[category &amp; sub-category]])-SEARCH("/",Table1[[#This Row],[category &amp; sub-category]]))</f>
        <v>web</v>
      </c>
    </row>
    <row r="839" spans="2:22" ht="15.75" customHeight="1" x14ac:dyDescent="0.25">
      <c r="B839">
        <v>836</v>
      </c>
      <c r="C839" t="s">
        <v>1705</v>
      </c>
      <c r="D839" s="3" t="s">
        <v>1706</v>
      </c>
      <c r="E839" s="6">
        <v>8100</v>
      </c>
      <c r="F839" s="6">
        <v>6086</v>
      </c>
      <c r="G839" s="17">
        <f>ROUND(Table1[[#This Row],[pledged]]/Table1[[#This Row],[goal]]*100,2)</f>
        <v>75.14</v>
      </c>
      <c r="H839" s="5">
        <f>+Table1[[#This Row],[pledged]]/Table1[[#This Row],[goal]]</f>
        <v>0.75135802469135804</v>
      </c>
      <c r="I839" t="s">
        <v>14</v>
      </c>
      <c r="J839">
        <v>94</v>
      </c>
      <c r="K839" s="8">
        <f>IFERROR(Table1[[#This Row],[pledged]]/Table1[[#This Row],[backers_count]],"NA")</f>
        <v>64.744680851063833</v>
      </c>
      <c r="L839" t="s">
        <v>21</v>
      </c>
      <c r="M839" t="s">
        <v>22</v>
      </c>
      <c r="N839">
        <v>1265349600</v>
      </c>
      <c r="O839">
        <v>1266300000</v>
      </c>
      <c r="P839" s="11">
        <f>+(((Table1[[#This Row],[launched_at]]/60)/60)/24)+DATE(1970,1,1)</f>
        <v>40214.25</v>
      </c>
      <c r="Q839" s="11">
        <f>+(((Table1[[#This Row],[deadline]]/60)/60)/24)+DATE(1970,1,1)</f>
        <v>40225.25</v>
      </c>
      <c r="R839" t="b">
        <v>0</v>
      </c>
      <c r="S839" t="b">
        <v>0</v>
      </c>
      <c r="T839" t="s">
        <v>60</v>
      </c>
      <c r="U839" t="str">
        <f>+LEFT(Table1[[#This Row],[category &amp; sub-category]],FIND("/",Table1[[#This Row],[category &amp; sub-category]])-1)</f>
        <v>music</v>
      </c>
      <c r="V839" t="str">
        <f>+RIGHT(Table1[[#This Row],[category &amp; sub-category]],LEN(Table1[[#This Row],[category &amp; sub-category]])-SEARCH("/",Table1[[#This Row],[category &amp; sub-category]]))</f>
        <v>indie rock</v>
      </c>
    </row>
    <row r="840" spans="2:22" ht="15.75" customHeight="1" x14ac:dyDescent="0.25">
      <c r="B840">
        <v>837</v>
      </c>
      <c r="C840" t="s">
        <v>1707</v>
      </c>
      <c r="D840" s="3" t="s">
        <v>1708</v>
      </c>
      <c r="E840" s="6">
        <v>17700</v>
      </c>
      <c r="F840" s="6">
        <v>150960</v>
      </c>
      <c r="G840" s="17">
        <f>ROUND(Table1[[#This Row],[pledged]]/Table1[[#This Row],[goal]]*100,2)</f>
        <v>852.88</v>
      </c>
      <c r="H840" s="5">
        <f>+Table1[[#This Row],[pledged]]/Table1[[#This Row],[goal]]</f>
        <v>8.5288135593220336</v>
      </c>
      <c r="I840" t="s">
        <v>20</v>
      </c>
      <c r="J840">
        <v>1797</v>
      </c>
      <c r="K840" s="8">
        <f>IFERROR(Table1[[#This Row],[pledged]]/Table1[[#This Row],[backers_count]],"NA")</f>
        <v>84.00667779632721</v>
      </c>
      <c r="L840" t="s">
        <v>21</v>
      </c>
      <c r="M840" t="s">
        <v>22</v>
      </c>
      <c r="N840">
        <v>1301202000</v>
      </c>
      <c r="O840">
        <v>1305867600</v>
      </c>
      <c r="P840" s="11">
        <f>+(((Table1[[#This Row],[launched_at]]/60)/60)/24)+DATE(1970,1,1)</f>
        <v>40629.208333333336</v>
      </c>
      <c r="Q840" s="11">
        <f>+(((Table1[[#This Row],[deadline]]/60)/60)/24)+DATE(1970,1,1)</f>
        <v>40683.208333333336</v>
      </c>
      <c r="R840" t="b">
        <v>0</v>
      </c>
      <c r="S840" t="b">
        <v>0</v>
      </c>
      <c r="T840" t="s">
        <v>159</v>
      </c>
      <c r="U840" t="str">
        <f>+LEFT(Table1[[#This Row],[category &amp; sub-category]],FIND("/",Table1[[#This Row],[category &amp; sub-category]])-1)</f>
        <v>music</v>
      </c>
      <c r="V840" t="str">
        <f>+RIGHT(Table1[[#This Row],[category &amp; sub-category]],LEN(Table1[[#This Row],[category &amp; sub-category]])-SEARCH("/",Table1[[#This Row],[category &amp; sub-category]]))</f>
        <v>jazz</v>
      </c>
    </row>
    <row r="841" spans="2:22" ht="15.75" customHeight="1" x14ac:dyDescent="0.25">
      <c r="B841">
        <v>838</v>
      </c>
      <c r="C841" t="s">
        <v>1709</v>
      </c>
      <c r="D841" s="3" t="s">
        <v>1710</v>
      </c>
      <c r="E841" s="6">
        <v>6400</v>
      </c>
      <c r="F841" s="6">
        <v>8890</v>
      </c>
      <c r="G841" s="17">
        <f>ROUND(Table1[[#This Row],[pledged]]/Table1[[#This Row],[goal]]*100,2)</f>
        <v>138.91</v>
      </c>
      <c r="H841" s="5">
        <f>+Table1[[#This Row],[pledged]]/Table1[[#This Row],[goal]]</f>
        <v>1.3890625000000001</v>
      </c>
      <c r="I841" t="s">
        <v>20</v>
      </c>
      <c r="J841">
        <v>261</v>
      </c>
      <c r="K841" s="8">
        <f>IFERROR(Table1[[#This Row],[pledged]]/Table1[[#This Row],[backers_count]],"NA")</f>
        <v>34.061302681992338</v>
      </c>
      <c r="L841" t="s">
        <v>21</v>
      </c>
      <c r="M841" t="s">
        <v>22</v>
      </c>
      <c r="N841">
        <v>1538024400</v>
      </c>
      <c r="O841">
        <v>1538802000</v>
      </c>
      <c r="P841" s="11">
        <f>+(((Table1[[#This Row],[launched_at]]/60)/60)/24)+DATE(1970,1,1)</f>
        <v>43370.208333333328</v>
      </c>
      <c r="Q841" s="11">
        <f>+(((Table1[[#This Row],[deadline]]/60)/60)/24)+DATE(1970,1,1)</f>
        <v>43379.208333333328</v>
      </c>
      <c r="R841" t="b">
        <v>0</v>
      </c>
      <c r="S841" t="b">
        <v>0</v>
      </c>
      <c r="T841" t="s">
        <v>33</v>
      </c>
      <c r="U841" t="str">
        <f>+LEFT(Table1[[#This Row],[category &amp; sub-category]],FIND("/",Table1[[#This Row],[category &amp; sub-category]])-1)</f>
        <v>theater</v>
      </c>
      <c r="V841" t="str">
        <f>+RIGHT(Table1[[#This Row],[category &amp; sub-category]],LEN(Table1[[#This Row],[category &amp; sub-category]])-SEARCH("/",Table1[[#This Row],[category &amp; sub-category]]))</f>
        <v>plays</v>
      </c>
    </row>
    <row r="842" spans="2:22" ht="15.75" customHeight="1" x14ac:dyDescent="0.25">
      <c r="B842">
        <v>839</v>
      </c>
      <c r="C842" t="s">
        <v>1711</v>
      </c>
      <c r="D842" s="3" t="s">
        <v>1712</v>
      </c>
      <c r="E842" s="6">
        <v>7700</v>
      </c>
      <c r="F842" s="6">
        <v>14644</v>
      </c>
      <c r="G842" s="17">
        <f>ROUND(Table1[[#This Row],[pledged]]/Table1[[#This Row],[goal]]*100,2)</f>
        <v>190.18</v>
      </c>
      <c r="H842" s="5">
        <f>+Table1[[#This Row],[pledged]]/Table1[[#This Row],[goal]]</f>
        <v>1.9018181818181819</v>
      </c>
      <c r="I842" t="s">
        <v>20</v>
      </c>
      <c r="J842">
        <v>157</v>
      </c>
      <c r="K842" s="8">
        <f>IFERROR(Table1[[#This Row],[pledged]]/Table1[[#This Row],[backers_count]],"NA")</f>
        <v>93.273885350318466</v>
      </c>
      <c r="L842" t="s">
        <v>21</v>
      </c>
      <c r="M842" t="s">
        <v>22</v>
      </c>
      <c r="N842">
        <v>1395032400</v>
      </c>
      <c r="O842">
        <v>1398920400</v>
      </c>
      <c r="P842" s="11">
        <f>+(((Table1[[#This Row],[launched_at]]/60)/60)/24)+DATE(1970,1,1)</f>
        <v>41715.208333333336</v>
      </c>
      <c r="Q842" s="11">
        <f>+(((Table1[[#This Row],[deadline]]/60)/60)/24)+DATE(1970,1,1)</f>
        <v>41760.208333333336</v>
      </c>
      <c r="R842" t="b">
        <v>0</v>
      </c>
      <c r="S842" t="b">
        <v>1</v>
      </c>
      <c r="T842" t="s">
        <v>42</v>
      </c>
      <c r="U842" t="str">
        <f>+LEFT(Table1[[#This Row],[category &amp; sub-category]],FIND("/",Table1[[#This Row],[category &amp; sub-category]])-1)</f>
        <v>film &amp; video</v>
      </c>
      <c r="V842" t="str">
        <f>+RIGHT(Table1[[#This Row],[category &amp; sub-category]],LEN(Table1[[#This Row],[category &amp; sub-category]])-SEARCH("/",Table1[[#This Row],[category &amp; sub-category]]))</f>
        <v>documentary</v>
      </c>
    </row>
    <row r="843" spans="2:22" ht="15.75" customHeight="1" x14ac:dyDescent="0.25">
      <c r="B843">
        <v>840</v>
      </c>
      <c r="C843" t="s">
        <v>1713</v>
      </c>
      <c r="D843" s="3" t="s">
        <v>1714</v>
      </c>
      <c r="E843" s="6">
        <v>116300</v>
      </c>
      <c r="F843" s="6">
        <v>116583</v>
      </c>
      <c r="G843" s="17">
        <f>ROUND(Table1[[#This Row],[pledged]]/Table1[[#This Row],[goal]]*100,2)</f>
        <v>100.24</v>
      </c>
      <c r="H843" s="5">
        <f>+Table1[[#This Row],[pledged]]/Table1[[#This Row],[goal]]</f>
        <v>1.0024333619948409</v>
      </c>
      <c r="I843" t="s">
        <v>20</v>
      </c>
      <c r="J843">
        <v>3533</v>
      </c>
      <c r="K843" s="8">
        <f>IFERROR(Table1[[#This Row],[pledged]]/Table1[[#This Row],[backers_count]],"NA")</f>
        <v>32.998301726577978</v>
      </c>
      <c r="L843" t="s">
        <v>21</v>
      </c>
      <c r="M843" t="s">
        <v>22</v>
      </c>
      <c r="N843">
        <v>1405486800</v>
      </c>
      <c r="O843">
        <v>1405659600</v>
      </c>
      <c r="P843" s="11">
        <f>+(((Table1[[#This Row],[launched_at]]/60)/60)/24)+DATE(1970,1,1)</f>
        <v>41836.208333333336</v>
      </c>
      <c r="Q843" s="11">
        <f>+(((Table1[[#This Row],[deadline]]/60)/60)/24)+DATE(1970,1,1)</f>
        <v>41838.208333333336</v>
      </c>
      <c r="R843" t="b">
        <v>0</v>
      </c>
      <c r="S843" t="b">
        <v>1</v>
      </c>
      <c r="T843" t="s">
        <v>33</v>
      </c>
      <c r="U843" t="str">
        <f>+LEFT(Table1[[#This Row],[category &amp; sub-category]],FIND("/",Table1[[#This Row],[category &amp; sub-category]])-1)</f>
        <v>theater</v>
      </c>
      <c r="V843" t="str">
        <f>+RIGHT(Table1[[#This Row],[category &amp; sub-category]],LEN(Table1[[#This Row],[category &amp; sub-category]])-SEARCH("/",Table1[[#This Row],[category &amp; sub-category]]))</f>
        <v>plays</v>
      </c>
    </row>
    <row r="844" spans="2:22" ht="15.75" customHeight="1" x14ac:dyDescent="0.25">
      <c r="B844">
        <v>841</v>
      </c>
      <c r="C844" t="s">
        <v>1715</v>
      </c>
      <c r="D844" s="3" t="s">
        <v>1716</v>
      </c>
      <c r="E844" s="6">
        <v>9100</v>
      </c>
      <c r="F844" s="6">
        <v>12991</v>
      </c>
      <c r="G844" s="17">
        <f>ROUND(Table1[[#This Row],[pledged]]/Table1[[#This Row],[goal]]*100,2)</f>
        <v>142.76</v>
      </c>
      <c r="H844" s="5">
        <f>+Table1[[#This Row],[pledged]]/Table1[[#This Row],[goal]]</f>
        <v>1.4275824175824177</v>
      </c>
      <c r="I844" t="s">
        <v>20</v>
      </c>
      <c r="J844">
        <v>155</v>
      </c>
      <c r="K844" s="8">
        <f>IFERROR(Table1[[#This Row],[pledged]]/Table1[[#This Row],[backers_count]],"NA")</f>
        <v>83.812903225806451</v>
      </c>
      <c r="L844" t="s">
        <v>21</v>
      </c>
      <c r="M844" t="s">
        <v>22</v>
      </c>
      <c r="N844">
        <v>1455861600</v>
      </c>
      <c r="O844">
        <v>1457244000</v>
      </c>
      <c r="P844" s="11">
        <f>+(((Table1[[#This Row],[launched_at]]/60)/60)/24)+DATE(1970,1,1)</f>
        <v>42419.25</v>
      </c>
      <c r="Q844" s="11">
        <f>+(((Table1[[#This Row],[deadline]]/60)/60)/24)+DATE(1970,1,1)</f>
        <v>42435.25</v>
      </c>
      <c r="R844" t="b">
        <v>0</v>
      </c>
      <c r="S844" t="b">
        <v>0</v>
      </c>
      <c r="T844" t="s">
        <v>28</v>
      </c>
      <c r="U844" t="str">
        <f>+LEFT(Table1[[#This Row],[category &amp; sub-category]],FIND("/",Table1[[#This Row],[category &amp; sub-category]])-1)</f>
        <v>technology</v>
      </c>
      <c r="V844" t="str">
        <f>+RIGHT(Table1[[#This Row],[category &amp; sub-category]],LEN(Table1[[#This Row],[category &amp; sub-category]])-SEARCH("/",Table1[[#This Row],[category &amp; sub-category]]))</f>
        <v>web</v>
      </c>
    </row>
    <row r="845" spans="2:22" ht="15.75" customHeight="1" x14ac:dyDescent="0.25">
      <c r="B845">
        <v>842</v>
      </c>
      <c r="C845" t="s">
        <v>1717</v>
      </c>
      <c r="D845" s="3" t="s">
        <v>1718</v>
      </c>
      <c r="E845" s="6">
        <v>1500</v>
      </c>
      <c r="F845" s="6">
        <v>8447</v>
      </c>
      <c r="G845" s="17">
        <f>ROUND(Table1[[#This Row],[pledged]]/Table1[[#This Row],[goal]]*100,2)</f>
        <v>563.13</v>
      </c>
      <c r="H845" s="5">
        <f>+Table1[[#This Row],[pledged]]/Table1[[#This Row],[goal]]</f>
        <v>5.6313333333333331</v>
      </c>
      <c r="I845" t="s">
        <v>20</v>
      </c>
      <c r="J845">
        <v>132</v>
      </c>
      <c r="K845" s="8">
        <f>IFERROR(Table1[[#This Row],[pledged]]/Table1[[#This Row],[backers_count]],"NA")</f>
        <v>63.992424242424242</v>
      </c>
      <c r="L845" t="s">
        <v>107</v>
      </c>
      <c r="M845" t="s">
        <v>108</v>
      </c>
      <c r="N845">
        <v>1529038800</v>
      </c>
      <c r="O845">
        <v>1529298000</v>
      </c>
      <c r="P845" s="11">
        <f>+(((Table1[[#This Row],[launched_at]]/60)/60)/24)+DATE(1970,1,1)</f>
        <v>43266.208333333328</v>
      </c>
      <c r="Q845" s="11">
        <f>+(((Table1[[#This Row],[deadline]]/60)/60)/24)+DATE(1970,1,1)</f>
        <v>43269.208333333328</v>
      </c>
      <c r="R845" t="b">
        <v>0</v>
      </c>
      <c r="S845" t="b">
        <v>0</v>
      </c>
      <c r="T845" t="s">
        <v>65</v>
      </c>
      <c r="U845" t="str">
        <f>+LEFT(Table1[[#This Row],[category &amp; sub-category]],FIND("/",Table1[[#This Row],[category &amp; sub-category]])-1)</f>
        <v>technology</v>
      </c>
      <c r="V845" t="str">
        <f>+RIGHT(Table1[[#This Row],[category &amp; sub-category]],LEN(Table1[[#This Row],[category &amp; sub-category]])-SEARCH("/",Table1[[#This Row],[category &amp; sub-category]]))</f>
        <v>wearables</v>
      </c>
    </row>
    <row r="846" spans="2:22" ht="15.75" customHeight="1" x14ac:dyDescent="0.25">
      <c r="B846">
        <v>843</v>
      </c>
      <c r="C846" t="s">
        <v>1719</v>
      </c>
      <c r="D846" s="3" t="s">
        <v>1720</v>
      </c>
      <c r="E846" s="6">
        <v>8800</v>
      </c>
      <c r="F846" s="6">
        <v>2703</v>
      </c>
      <c r="G846" s="17">
        <f>ROUND(Table1[[#This Row],[pledged]]/Table1[[#This Row],[goal]]*100,2)</f>
        <v>30.72</v>
      </c>
      <c r="H846" s="5">
        <f>+Table1[[#This Row],[pledged]]/Table1[[#This Row],[goal]]</f>
        <v>0.30715909090909088</v>
      </c>
      <c r="I846" t="s">
        <v>14</v>
      </c>
      <c r="J846">
        <v>33</v>
      </c>
      <c r="K846" s="8">
        <f>IFERROR(Table1[[#This Row],[pledged]]/Table1[[#This Row],[backers_count]],"NA")</f>
        <v>81.909090909090907</v>
      </c>
      <c r="L846" t="s">
        <v>21</v>
      </c>
      <c r="M846" t="s">
        <v>22</v>
      </c>
      <c r="N846">
        <v>1535259600</v>
      </c>
      <c r="O846">
        <v>1535778000</v>
      </c>
      <c r="P846" s="11">
        <f>+(((Table1[[#This Row],[launched_at]]/60)/60)/24)+DATE(1970,1,1)</f>
        <v>43338.208333333328</v>
      </c>
      <c r="Q846" s="11">
        <f>+(((Table1[[#This Row],[deadline]]/60)/60)/24)+DATE(1970,1,1)</f>
        <v>43344.208333333328</v>
      </c>
      <c r="R846" t="b">
        <v>0</v>
      </c>
      <c r="S846" t="b">
        <v>0</v>
      </c>
      <c r="T846" t="s">
        <v>122</v>
      </c>
      <c r="U846" t="str">
        <f>+LEFT(Table1[[#This Row],[category &amp; sub-category]],FIND("/",Table1[[#This Row],[category &amp; sub-category]])-1)</f>
        <v>photography</v>
      </c>
      <c r="V846" t="str">
        <f>+RIGHT(Table1[[#This Row],[category &amp; sub-category]],LEN(Table1[[#This Row],[category &amp; sub-category]])-SEARCH("/",Table1[[#This Row],[category &amp; sub-category]]))</f>
        <v>photography books</v>
      </c>
    </row>
    <row r="847" spans="2:22" ht="15.75" customHeight="1" x14ac:dyDescent="0.25">
      <c r="B847">
        <v>844</v>
      </c>
      <c r="C847" t="s">
        <v>1721</v>
      </c>
      <c r="D847" s="3" t="s">
        <v>1722</v>
      </c>
      <c r="E847" s="6">
        <v>8800</v>
      </c>
      <c r="F847" s="6">
        <v>8747</v>
      </c>
      <c r="G847" s="17">
        <f>ROUND(Table1[[#This Row],[pledged]]/Table1[[#This Row],[goal]]*100,2)</f>
        <v>99.4</v>
      </c>
      <c r="H847" s="5">
        <f>+Table1[[#This Row],[pledged]]/Table1[[#This Row],[goal]]</f>
        <v>0.99397727272727276</v>
      </c>
      <c r="I847" t="s">
        <v>74</v>
      </c>
      <c r="J847">
        <v>94</v>
      </c>
      <c r="K847" s="8">
        <f>IFERROR(Table1[[#This Row],[pledged]]/Table1[[#This Row],[backers_count]],"NA")</f>
        <v>93.053191489361708</v>
      </c>
      <c r="L847" t="s">
        <v>21</v>
      </c>
      <c r="M847" t="s">
        <v>22</v>
      </c>
      <c r="N847">
        <v>1327212000</v>
      </c>
      <c r="O847">
        <v>1327471200</v>
      </c>
      <c r="P847" s="11">
        <f>+(((Table1[[#This Row],[launched_at]]/60)/60)/24)+DATE(1970,1,1)</f>
        <v>40930.25</v>
      </c>
      <c r="Q847" s="11">
        <f>+(((Table1[[#This Row],[deadline]]/60)/60)/24)+DATE(1970,1,1)</f>
        <v>40933.25</v>
      </c>
      <c r="R847" t="b">
        <v>0</v>
      </c>
      <c r="S847" t="b">
        <v>0</v>
      </c>
      <c r="T847" t="s">
        <v>42</v>
      </c>
      <c r="U847" t="str">
        <f>+LEFT(Table1[[#This Row],[category &amp; sub-category]],FIND("/",Table1[[#This Row],[category &amp; sub-category]])-1)</f>
        <v>film &amp; video</v>
      </c>
      <c r="V847" t="str">
        <f>+RIGHT(Table1[[#This Row],[category &amp; sub-category]],LEN(Table1[[#This Row],[category &amp; sub-category]])-SEARCH("/",Table1[[#This Row],[category &amp; sub-category]]))</f>
        <v>documentary</v>
      </c>
    </row>
    <row r="848" spans="2:22" ht="15.75" customHeight="1" x14ac:dyDescent="0.25">
      <c r="B848">
        <v>845</v>
      </c>
      <c r="C848" t="s">
        <v>1723</v>
      </c>
      <c r="D848" s="3" t="s">
        <v>1724</v>
      </c>
      <c r="E848" s="6">
        <v>69900</v>
      </c>
      <c r="F848" s="6">
        <v>138087</v>
      </c>
      <c r="G848" s="17">
        <f>ROUND(Table1[[#This Row],[pledged]]/Table1[[#This Row],[goal]]*100,2)</f>
        <v>197.55</v>
      </c>
      <c r="H848" s="5">
        <f>+Table1[[#This Row],[pledged]]/Table1[[#This Row],[goal]]</f>
        <v>1.9754935622317598</v>
      </c>
      <c r="I848" t="s">
        <v>20</v>
      </c>
      <c r="J848">
        <v>1354</v>
      </c>
      <c r="K848" s="8">
        <f>IFERROR(Table1[[#This Row],[pledged]]/Table1[[#This Row],[backers_count]],"NA")</f>
        <v>101.98449039881831</v>
      </c>
      <c r="L848" t="s">
        <v>40</v>
      </c>
      <c r="M848" t="s">
        <v>41</v>
      </c>
      <c r="N848">
        <v>1526360400</v>
      </c>
      <c r="O848">
        <v>1529557200</v>
      </c>
      <c r="P848" s="11">
        <f>+(((Table1[[#This Row],[launched_at]]/60)/60)/24)+DATE(1970,1,1)</f>
        <v>43235.208333333328</v>
      </c>
      <c r="Q848" s="11">
        <f>+(((Table1[[#This Row],[deadline]]/60)/60)/24)+DATE(1970,1,1)</f>
        <v>43272.208333333328</v>
      </c>
      <c r="R848" t="b">
        <v>0</v>
      </c>
      <c r="S848" t="b">
        <v>0</v>
      </c>
      <c r="T848" t="s">
        <v>28</v>
      </c>
      <c r="U848" t="str">
        <f>+LEFT(Table1[[#This Row],[category &amp; sub-category]],FIND("/",Table1[[#This Row],[category &amp; sub-category]])-1)</f>
        <v>technology</v>
      </c>
      <c r="V848" t="str">
        <f>+RIGHT(Table1[[#This Row],[category &amp; sub-category]],LEN(Table1[[#This Row],[category &amp; sub-category]])-SEARCH("/",Table1[[#This Row],[category &amp; sub-category]]))</f>
        <v>web</v>
      </c>
    </row>
    <row r="849" spans="2:22" ht="15.75" customHeight="1" x14ac:dyDescent="0.25">
      <c r="B849">
        <v>846</v>
      </c>
      <c r="C849" t="s">
        <v>1725</v>
      </c>
      <c r="D849" s="3" t="s">
        <v>1726</v>
      </c>
      <c r="E849" s="6">
        <v>1000</v>
      </c>
      <c r="F849" s="6">
        <v>5085</v>
      </c>
      <c r="G849" s="17">
        <f>ROUND(Table1[[#This Row],[pledged]]/Table1[[#This Row],[goal]]*100,2)</f>
        <v>508.5</v>
      </c>
      <c r="H849" s="5">
        <f>+Table1[[#This Row],[pledged]]/Table1[[#This Row],[goal]]</f>
        <v>5.085</v>
      </c>
      <c r="I849" t="s">
        <v>20</v>
      </c>
      <c r="J849">
        <v>48</v>
      </c>
      <c r="K849" s="8">
        <f>IFERROR(Table1[[#This Row],[pledged]]/Table1[[#This Row],[backers_count]],"NA")</f>
        <v>105.9375</v>
      </c>
      <c r="L849" t="s">
        <v>21</v>
      </c>
      <c r="M849" t="s">
        <v>22</v>
      </c>
      <c r="N849">
        <v>1532149200</v>
      </c>
      <c r="O849">
        <v>1535259600</v>
      </c>
      <c r="P849" s="11">
        <f>+(((Table1[[#This Row],[launched_at]]/60)/60)/24)+DATE(1970,1,1)</f>
        <v>43302.208333333328</v>
      </c>
      <c r="Q849" s="11">
        <f>+(((Table1[[#This Row],[deadline]]/60)/60)/24)+DATE(1970,1,1)</f>
        <v>43338.208333333328</v>
      </c>
      <c r="R849" t="b">
        <v>1</v>
      </c>
      <c r="S849" t="b">
        <v>1</v>
      </c>
      <c r="T849" t="s">
        <v>28</v>
      </c>
      <c r="U849" t="str">
        <f>+LEFT(Table1[[#This Row],[category &amp; sub-category]],FIND("/",Table1[[#This Row],[category &amp; sub-category]])-1)</f>
        <v>technology</v>
      </c>
      <c r="V849" t="str">
        <f>+RIGHT(Table1[[#This Row],[category &amp; sub-category]],LEN(Table1[[#This Row],[category &amp; sub-category]])-SEARCH("/",Table1[[#This Row],[category &amp; sub-category]]))</f>
        <v>web</v>
      </c>
    </row>
    <row r="850" spans="2:22" ht="15.75" customHeight="1" x14ac:dyDescent="0.25">
      <c r="B850">
        <v>847</v>
      </c>
      <c r="C850" t="s">
        <v>1727</v>
      </c>
      <c r="D850" s="3" t="s">
        <v>1728</v>
      </c>
      <c r="E850" s="6">
        <v>4700</v>
      </c>
      <c r="F850" s="6">
        <v>11174</v>
      </c>
      <c r="G850" s="17">
        <f>ROUND(Table1[[#This Row],[pledged]]/Table1[[#This Row],[goal]]*100,2)</f>
        <v>237.74</v>
      </c>
      <c r="H850" s="5">
        <f>+Table1[[#This Row],[pledged]]/Table1[[#This Row],[goal]]</f>
        <v>2.3774468085106384</v>
      </c>
      <c r="I850" t="s">
        <v>20</v>
      </c>
      <c r="J850">
        <v>110</v>
      </c>
      <c r="K850" s="8">
        <f>IFERROR(Table1[[#This Row],[pledged]]/Table1[[#This Row],[backers_count]],"NA")</f>
        <v>101.58181818181818</v>
      </c>
      <c r="L850" t="s">
        <v>21</v>
      </c>
      <c r="M850" t="s">
        <v>22</v>
      </c>
      <c r="N850">
        <v>1515304800</v>
      </c>
      <c r="O850">
        <v>1515564000</v>
      </c>
      <c r="P850" s="11">
        <f>+(((Table1[[#This Row],[launched_at]]/60)/60)/24)+DATE(1970,1,1)</f>
        <v>43107.25</v>
      </c>
      <c r="Q850" s="11">
        <f>+(((Table1[[#This Row],[deadline]]/60)/60)/24)+DATE(1970,1,1)</f>
        <v>43110.25</v>
      </c>
      <c r="R850" t="b">
        <v>0</v>
      </c>
      <c r="S850" t="b">
        <v>0</v>
      </c>
      <c r="T850" t="s">
        <v>17</v>
      </c>
      <c r="U850" t="str">
        <f>+LEFT(Table1[[#This Row],[category &amp; sub-category]],FIND("/",Table1[[#This Row],[category &amp; sub-category]])-1)</f>
        <v>food</v>
      </c>
      <c r="V850" t="str">
        <f>+RIGHT(Table1[[#This Row],[category &amp; sub-category]],LEN(Table1[[#This Row],[category &amp; sub-category]])-SEARCH("/",Table1[[#This Row],[category &amp; sub-category]]))</f>
        <v>food trucks</v>
      </c>
    </row>
    <row r="851" spans="2:22" ht="15.75" customHeight="1" x14ac:dyDescent="0.25">
      <c r="B851">
        <v>848</v>
      </c>
      <c r="C851" t="s">
        <v>1729</v>
      </c>
      <c r="D851" s="3" t="s">
        <v>1730</v>
      </c>
      <c r="E851" s="6">
        <v>3200</v>
      </c>
      <c r="F851" s="6">
        <v>10831</v>
      </c>
      <c r="G851" s="17">
        <f>ROUND(Table1[[#This Row],[pledged]]/Table1[[#This Row],[goal]]*100,2)</f>
        <v>338.47</v>
      </c>
      <c r="H851" s="5">
        <f>+Table1[[#This Row],[pledged]]/Table1[[#This Row],[goal]]</f>
        <v>3.3846875000000001</v>
      </c>
      <c r="I851" t="s">
        <v>20</v>
      </c>
      <c r="J851">
        <v>172</v>
      </c>
      <c r="K851" s="8">
        <f>IFERROR(Table1[[#This Row],[pledged]]/Table1[[#This Row],[backers_count]],"NA")</f>
        <v>62.970930232558139</v>
      </c>
      <c r="L851" t="s">
        <v>21</v>
      </c>
      <c r="M851" t="s">
        <v>22</v>
      </c>
      <c r="N851">
        <v>1276318800</v>
      </c>
      <c r="O851">
        <v>1277096400</v>
      </c>
      <c r="P851" s="11">
        <f>+(((Table1[[#This Row],[launched_at]]/60)/60)/24)+DATE(1970,1,1)</f>
        <v>40341.208333333336</v>
      </c>
      <c r="Q851" s="11">
        <f>+(((Table1[[#This Row],[deadline]]/60)/60)/24)+DATE(1970,1,1)</f>
        <v>40350.208333333336</v>
      </c>
      <c r="R851" t="b">
        <v>0</v>
      </c>
      <c r="S851" t="b">
        <v>0</v>
      </c>
      <c r="T851" t="s">
        <v>53</v>
      </c>
      <c r="U851" t="str">
        <f>+LEFT(Table1[[#This Row],[category &amp; sub-category]],FIND("/",Table1[[#This Row],[category &amp; sub-category]])-1)</f>
        <v>film &amp; video</v>
      </c>
      <c r="V851" t="str">
        <f>+RIGHT(Table1[[#This Row],[category &amp; sub-category]],LEN(Table1[[#This Row],[category &amp; sub-category]])-SEARCH("/",Table1[[#This Row],[category &amp; sub-category]]))</f>
        <v>drama</v>
      </c>
    </row>
    <row r="852" spans="2:22" ht="15.75" customHeight="1" x14ac:dyDescent="0.25">
      <c r="B852">
        <v>849</v>
      </c>
      <c r="C852" t="s">
        <v>1731</v>
      </c>
      <c r="D852" s="3" t="s">
        <v>1732</v>
      </c>
      <c r="E852" s="6">
        <v>6700</v>
      </c>
      <c r="F852" s="6">
        <v>8917</v>
      </c>
      <c r="G852" s="17">
        <f>ROUND(Table1[[#This Row],[pledged]]/Table1[[#This Row],[goal]]*100,2)</f>
        <v>133.09</v>
      </c>
      <c r="H852" s="5">
        <f>+Table1[[#This Row],[pledged]]/Table1[[#This Row],[goal]]</f>
        <v>1.3308955223880596</v>
      </c>
      <c r="I852" t="s">
        <v>20</v>
      </c>
      <c r="J852">
        <v>307</v>
      </c>
      <c r="K852" s="8">
        <f>IFERROR(Table1[[#This Row],[pledged]]/Table1[[#This Row],[backers_count]],"NA")</f>
        <v>29.045602605863191</v>
      </c>
      <c r="L852" t="s">
        <v>21</v>
      </c>
      <c r="M852" t="s">
        <v>22</v>
      </c>
      <c r="N852">
        <v>1328767200</v>
      </c>
      <c r="O852">
        <v>1329026400</v>
      </c>
      <c r="P852" s="11">
        <f>+(((Table1[[#This Row],[launched_at]]/60)/60)/24)+DATE(1970,1,1)</f>
        <v>40948.25</v>
      </c>
      <c r="Q852" s="11">
        <f>+(((Table1[[#This Row],[deadline]]/60)/60)/24)+DATE(1970,1,1)</f>
        <v>40951.25</v>
      </c>
      <c r="R852" t="b">
        <v>0</v>
      </c>
      <c r="S852" t="b">
        <v>1</v>
      </c>
      <c r="T852" t="s">
        <v>60</v>
      </c>
      <c r="U852" t="str">
        <f>+LEFT(Table1[[#This Row],[category &amp; sub-category]],FIND("/",Table1[[#This Row],[category &amp; sub-category]])-1)</f>
        <v>music</v>
      </c>
      <c r="V852" t="str">
        <f>+RIGHT(Table1[[#This Row],[category &amp; sub-category]],LEN(Table1[[#This Row],[category &amp; sub-category]])-SEARCH("/",Table1[[#This Row],[category &amp; sub-category]]))</f>
        <v>indie rock</v>
      </c>
    </row>
    <row r="853" spans="2:22" ht="15.75" customHeight="1" x14ac:dyDescent="0.25">
      <c r="B853">
        <v>850</v>
      </c>
      <c r="C853" t="s">
        <v>1733</v>
      </c>
      <c r="D853" s="3" t="s">
        <v>1734</v>
      </c>
      <c r="E853" s="6">
        <v>100</v>
      </c>
      <c r="F853" s="6">
        <v>1</v>
      </c>
      <c r="G853" s="17">
        <f>ROUND(Table1[[#This Row],[pledged]]/Table1[[#This Row],[goal]]*100,2)</f>
        <v>1</v>
      </c>
      <c r="H853" s="5">
        <f>+Table1[[#This Row],[pledged]]/Table1[[#This Row],[goal]]</f>
        <v>0.01</v>
      </c>
      <c r="I853" t="s">
        <v>14</v>
      </c>
      <c r="J853">
        <v>1</v>
      </c>
      <c r="K853" s="8">
        <f>IFERROR(Table1[[#This Row],[pledged]]/Table1[[#This Row],[backers_count]],"NA")</f>
        <v>1</v>
      </c>
      <c r="L853" t="s">
        <v>21</v>
      </c>
      <c r="M853" t="s">
        <v>22</v>
      </c>
      <c r="N853">
        <v>1321682400</v>
      </c>
      <c r="O853">
        <v>1322978400</v>
      </c>
      <c r="P853" s="11">
        <f>+(((Table1[[#This Row],[launched_at]]/60)/60)/24)+DATE(1970,1,1)</f>
        <v>40866.25</v>
      </c>
      <c r="Q853" s="11">
        <f>+(((Table1[[#This Row],[deadline]]/60)/60)/24)+DATE(1970,1,1)</f>
        <v>40881.25</v>
      </c>
      <c r="R853" t="b">
        <v>1</v>
      </c>
      <c r="S853" t="b">
        <v>0</v>
      </c>
      <c r="T853" t="s">
        <v>23</v>
      </c>
      <c r="U853" t="str">
        <f>+LEFT(Table1[[#This Row],[category &amp; sub-category]],FIND("/",Table1[[#This Row],[category &amp; sub-category]])-1)</f>
        <v>music</v>
      </c>
      <c r="V853" t="str">
        <f>+RIGHT(Table1[[#This Row],[category &amp; sub-category]],LEN(Table1[[#This Row],[category &amp; sub-category]])-SEARCH("/",Table1[[#This Row],[category &amp; sub-category]]))</f>
        <v>rock</v>
      </c>
    </row>
    <row r="854" spans="2:22" ht="15.75" customHeight="1" x14ac:dyDescent="0.25">
      <c r="B854">
        <v>851</v>
      </c>
      <c r="C854" t="s">
        <v>1735</v>
      </c>
      <c r="D854" s="3" t="s">
        <v>1736</v>
      </c>
      <c r="E854" s="6">
        <v>6000</v>
      </c>
      <c r="F854" s="6">
        <v>12468</v>
      </c>
      <c r="G854" s="17">
        <f>ROUND(Table1[[#This Row],[pledged]]/Table1[[#This Row],[goal]]*100,2)</f>
        <v>207.8</v>
      </c>
      <c r="H854" s="5">
        <f>+Table1[[#This Row],[pledged]]/Table1[[#This Row],[goal]]</f>
        <v>2.0779999999999998</v>
      </c>
      <c r="I854" t="s">
        <v>20</v>
      </c>
      <c r="J854">
        <v>160</v>
      </c>
      <c r="K854" s="8">
        <f>IFERROR(Table1[[#This Row],[pledged]]/Table1[[#This Row],[backers_count]],"NA")</f>
        <v>77.924999999999997</v>
      </c>
      <c r="L854" t="s">
        <v>21</v>
      </c>
      <c r="M854" t="s">
        <v>22</v>
      </c>
      <c r="N854">
        <v>1335934800</v>
      </c>
      <c r="O854">
        <v>1338786000</v>
      </c>
      <c r="P854" s="11">
        <f>+(((Table1[[#This Row],[launched_at]]/60)/60)/24)+DATE(1970,1,1)</f>
        <v>41031.208333333336</v>
      </c>
      <c r="Q854" s="11">
        <f>+(((Table1[[#This Row],[deadline]]/60)/60)/24)+DATE(1970,1,1)</f>
        <v>41064.208333333336</v>
      </c>
      <c r="R854" t="b">
        <v>0</v>
      </c>
      <c r="S854" t="b">
        <v>0</v>
      </c>
      <c r="T854" t="s">
        <v>50</v>
      </c>
      <c r="U854" t="str">
        <f>+LEFT(Table1[[#This Row],[category &amp; sub-category]],FIND("/",Table1[[#This Row],[category &amp; sub-category]])-1)</f>
        <v>music</v>
      </c>
      <c r="V854" t="str">
        <f>+RIGHT(Table1[[#This Row],[category &amp; sub-category]],LEN(Table1[[#This Row],[category &amp; sub-category]])-SEARCH("/",Table1[[#This Row],[category &amp; sub-category]]))</f>
        <v>electric music</v>
      </c>
    </row>
    <row r="855" spans="2:22" ht="15.75" customHeight="1" x14ac:dyDescent="0.25">
      <c r="B855">
        <v>852</v>
      </c>
      <c r="C855" t="s">
        <v>1737</v>
      </c>
      <c r="D855" s="3" t="s">
        <v>1738</v>
      </c>
      <c r="E855" s="6">
        <v>4900</v>
      </c>
      <c r="F855" s="6">
        <v>2505</v>
      </c>
      <c r="G855" s="17">
        <f>ROUND(Table1[[#This Row],[pledged]]/Table1[[#This Row],[goal]]*100,2)</f>
        <v>51.12</v>
      </c>
      <c r="H855" s="5">
        <f>+Table1[[#This Row],[pledged]]/Table1[[#This Row],[goal]]</f>
        <v>0.51122448979591839</v>
      </c>
      <c r="I855" t="s">
        <v>14</v>
      </c>
      <c r="J855">
        <v>31</v>
      </c>
      <c r="K855" s="8">
        <f>IFERROR(Table1[[#This Row],[pledged]]/Table1[[#This Row],[backers_count]],"NA")</f>
        <v>80.806451612903231</v>
      </c>
      <c r="L855" t="s">
        <v>21</v>
      </c>
      <c r="M855" t="s">
        <v>22</v>
      </c>
      <c r="N855">
        <v>1310792400</v>
      </c>
      <c r="O855">
        <v>1311656400</v>
      </c>
      <c r="P855" s="11">
        <f>+(((Table1[[#This Row],[launched_at]]/60)/60)/24)+DATE(1970,1,1)</f>
        <v>40740.208333333336</v>
      </c>
      <c r="Q855" s="11">
        <f>+(((Table1[[#This Row],[deadline]]/60)/60)/24)+DATE(1970,1,1)</f>
        <v>40750.208333333336</v>
      </c>
      <c r="R855" t="b">
        <v>0</v>
      </c>
      <c r="S855" t="b">
        <v>1</v>
      </c>
      <c r="T855" t="s">
        <v>89</v>
      </c>
      <c r="U855" t="str">
        <f>+LEFT(Table1[[#This Row],[category &amp; sub-category]],FIND("/",Table1[[#This Row],[category &amp; sub-category]])-1)</f>
        <v>games</v>
      </c>
      <c r="V855" t="str">
        <f>+RIGHT(Table1[[#This Row],[category &amp; sub-category]],LEN(Table1[[#This Row],[category &amp; sub-category]])-SEARCH("/",Table1[[#This Row],[category &amp; sub-category]]))</f>
        <v>video games</v>
      </c>
    </row>
    <row r="856" spans="2:22" ht="15.75" customHeight="1" x14ac:dyDescent="0.25">
      <c r="B856">
        <v>853</v>
      </c>
      <c r="C856" t="s">
        <v>1739</v>
      </c>
      <c r="D856" s="3" t="s">
        <v>1740</v>
      </c>
      <c r="E856" s="6">
        <v>17100</v>
      </c>
      <c r="F856" s="6">
        <v>111502</v>
      </c>
      <c r="G856" s="17">
        <f>ROUND(Table1[[#This Row],[pledged]]/Table1[[#This Row],[goal]]*100,2)</f>
        <v>652.05999999999995</v>
      </c>
      <c r="H856" s="5">
        <f>+Table1[[#This Row],[pledged]]/Table1[[#This Row],[goal]]</f>
        <v>6.5205847953216374</v>
      </c>
      <c r="I856" t="s">
        <v>20</v>
      </c>
      <c r="J856">
        <v>1467</v>
      </c>
      <c r="K856" s="8">
        <f>IFERROR(Table1[[#This Row],[pledged]]/Table1[[#This Row],[backers_count]],"NA")</f>
        <v>76.006816632583508</v>
      </c>
      <c r="L856" t="s">
        <v>15</v>
      </c>
      <c r="M856" t="s">
        <v>16</v>
      </c>
      <c r="N856">
        <v>1308546000</v>
      </c>
      <c r="O856">
        <v>1308978000</v>
      </c>
      <c r="P856" s="11">
        <f>+(((Table1[[#This Row],[launched_at]]/60)/60)/24)+DATE(1970,1,1)</f>
        <v>40714.208333333336</v>
      </c>
      <c r="Q856" s="11">
        <f>+(((Table1[[#This Row],[deadline]]/60)/60)/24)+DATE(1970,1,1)</f>
        <v>40719.208333333336</v>
      </c>
      <c r="R856" t="b">
        <v>0</v>
      </c>
      <c r="S856" t="b">
        <v>1</v>
      </c>
      <c r="T856" t="s">
        <v>60</v>
      </c>
      <c r="U856" t="str">
        <f>+LEFT(Table1[[#This Row],[category &amp; sub-category]],FIND("/",Table1[[#This Row],[category &amp; sub-category]])-1)</f>
        <v>music</v>
      </c>
      <c r="V856" t="str">
        <f>+RIGHT(Table1[[#This Row],[category &amp; sub-category]],LEN(Table1[[#This Row],[category &amp; sub-category]])-SEARCH("/",Table1[[#This Row],[category &amp; sub-category]]))</f>
        <v>indie rock</v>
      </c>
    </row>
    <row r="857" spans="2:22" ht="15.75" customHeight="1" x14ac:dyDescent="0.25">
      <c r="B857">
        <v>854</v>
      </c>
      <c r="C857" t="s">
        <v>1741</v>
      </c>
      <c r="D857" s="3" t="s">
        <v>1742</v>
      </c>
      <c r="E857" s="6">
        <v>171000</v>
      </c>
      <c r="F857" s="6">
        <v>194309</v>
      </c>
      <c r="G857" s="17">
        <f>ROUND(Table1[[#This Row],[pledged]]/Table1[[#This Row],[goal]]*100,2)</f>
        <v>113.63</v>
      </c>
      <c r="H857" s="5">
        <f>+Table1[[#This Row],[pledged]]/Table1[[#This Row],[goal]]</f>
        <v>1.1363099415204678</v>
      </c>
      <c r="I857" t="s">
        <v>20</v>
      </c>
      <c r="J857">
        <v>2662</v>
      </c>
      <c r="K857" s="8">
        <f>IFERROR(Table1[[#This Row],[pledged]]/Table1[[#This Row],[backers_count]],"NA")</f>
        <v>72.993613824192337</v>
      </c>
      <c r="L857" t="s">
        <v>15</v>
      </c>
      <c r="M857" t="s">
        <v>16</v>
      </c>
      <c r="N857">
        <v>1574056800</v>
      </c>
      <c r="O857">
        <v>1576389600</v>
      </c>
      <c r="P857" s="11">
        <f>+(((Table1[[#This Row],[launched_at]]/60)/60)/24)+DATE(1970,1,1)</f>
        <v>43787.25</v>
      </c>
      <c r="Q857" s="11">
        <f>+(((Table1[[#This Row],[deadline]]/60)/60)/24)+DATE(1970,1,1)</f>
        <v>43814.25</v>
      </c>
      <c r="R857" t="b">
        <v>0</v>
      </c>
      <c r="S857" t="b">
        <v>0</v>
      </c>
      <c r="T857" t="s">
        <v>119</v>
      </c>
      <c r="U857" t="str">
        <f>+LEFT(Table1[[#This Row],[category &amp; sub-category]],FIND("/",Table1[[#This Row],[category &amp; sub-category]])-1)</f>
        <v>publishing</v>
      </c>
      <c r="V857" t="str">
        <f>+RIGHT(Table1[[#This Row],[category &amp; sub-category]],LEN(Table1[[#This Row],[category &amp; sub-category]])-SEARCH("/",Table1[[#This Row],[category &amp; sub-category]]))</f>
        <v>fiction</v>
      </c>
    </row>
    <row r="858" spans="2:22" ht="15.75" customHeight="1" x14ac:dyDescent="0.25">
      <c r="B858">
        <v>855</v>
      </c>
      <c r="C858" t="s">
        <v>1743</v>
      </c>
      <c r="D858" s="3" t="s">
        <v>1744</v>
      </c>
      <c r="E858" s="6">
        <v>23400</v>
      </c>
      <c r="F858" s="6">
        <v>23956</v>
      </c>
      <c r="G858" s="17">
        <f>ROUND(Table1[[#This Row],[pledged]]/Table1[[#This Row],[goal]]*100,2)</f>
        <v>102.38</v>
      </c>
      <c r="H858" s="5">
        <f>+Table1[[#This Row],[pledged]]/Table1[[#This Row],[goal]]</f>
        <v>1.0237606837606839</v>
      </c>
      <c r="I858" t="s">
        <v>20</v>
      </c>
      <c r="J858">
        <v>452</v>
      </c>
      <c r="K858" s="8">
        <f>IFERROR(Table1[[#This Row],[pledged]]/Table1[[#This Row],[backers_count]],"NA")</f>
        <v>53</v>
      </c>
      <c r="L858" t="s">
        <v>26</v>
      </c>
      <c r="M858" t="s">
        <v>27</v>
      </c>
      <c r="N858">
        <v>1308373200</v>
      </c>
      <c r="O858">
        <v>1311051600</v>
      </c>
      <c r="P858" s="11">
        <f>+(((Table1[[#This Row],[launched_at]]/60)/60)/24)+DATE(1970,1,1)</f>
        <v>40712.208333333336</v>
      </c>
      <c r="Q858" s="11">
        <f>+(((Table1[[#This Row],[deadline]]/60)/60)/24)+DATE(1970,1,1)</f>
        <v>40743.208333333336</v>
      </c>
      <c r="R858" t="b">
        <v>0</v>
      </c>
      <c r="S858" t="b">
        <v>0</v>
      </c>
      <c r="T858" t="s">
        <v>33</v>
      </c>
      <c r="U858" t="str">
        <f>+LEFT(Table1[[#This Row],[category &amp; sub-category]],FIND("/",Table1[[#This Row],[category &amp; sub-category]])-1)</f>
        <v>theater</v>
      </c>
      <c r="V858" t="str">
        <f>+RIGHT(Table1[[#This Row],[category &amp; sub-category]],LEN(Table1[[#This Row],[category &amp; sub-category]])-SEARCH("/",Table1[[#This Row],[category &amp; sub-category]]))</f>
        <v>plays</v>
      </c>
    </row>
    <row r="859" spans="2:22" ht="15.75" customHeight="1" x14ac:dyDescent="0.25">
      <c r="B859">
        <v>856</v>
      </c>
      <c r="C859" t="s">
        <v>1599</v>
      </c>
      <c r="D859" s="3" t="s">
        <v>1745</v>
      </c>
      <c r="E859" s="6">
        <v>2400</v>
      </c>
      <c r="F859" s="6">
        <v>8558</v>
      </c>
      <c r="G859" s="17">
        <f>ROUND(Table1[[#This Row],[pledged]]/Table1[[#This Row],[goal]]*100,2)</f>
        <v>356.58</v>
      </c>
      <c r="H859" s="5">
        <f>+Table1[[#This Row],[pledged]]/Table1[[#This Row],[goal]]</f>
        <v>3.5658333333333334</v>
      </c>
      <c r="I859" t="s">
        <v>20</v>
      </c>
      <c r="J859">
        <v>158</v>
      </c>
      <c r="K859" s="8">
        <f>IFERROR(Table1[[#This Row],[pledged]]/Table1[[#This Row],[backers_count]],"NA")</f>
        <v>54.164556962025316</v>
      </c>
      <c r="L859" t="s">
        <v>21</v>
      </c>
      <c r="M859" t="s">
        <v>22</v>
      </c>
      <c r="N859">
        <v>1335243600</v>
      </c>
      <c r="O859">
        <v>1336712400</v>
      </c>
      <c r="P859" s="11">
        <f>+(((Table1[[#This Row],[launched_at]]/60)/60)/24)+DATE(1970,1,1)</f>
        <v>41023.208333333336</v>
      </c>
      <c r="Q859" s="11">
        <f>+(((Table1[[#This Row],[deadline]]/60)/60)/24)+DATE(1970,1,1)</f>
        <v>41040.208333333336</v>
      </c>
      <c r="R859" t="b">
        <v>0</v>
      </c>
      <c r="S859" t="b">
        <v>0</v>
      </c>
      <c r="T859" t="s">
        <v>17</v>
      </c>
      <c r="U859" t="str">
        <f>+LEFT(Table1[[#This Row],[category &amp; sub-category]],FIND("/",Table1[[#This Row],[category &amp; sub-category]])-1)</f>
        <v>food</v>
      </c>
      <c r="V859" t="str">
        <f>+RIGHT(Table1[[#This Row],[category &amp; sub-category]],LEN(Table1[[#This Row],[category &amp; sub-category]])-SEARCH("/",Table1[[#This Row],[category &amp; sub-category]]))</f>
        <v>food trucks</v>
      </c>
    </row>
    <row r="860" spans="2:22" ht="15.75" customHeight="1" x14ac:dyDescent="0.25">
      <c r="B860">
        <v>857</v>
      </c>
      <c r="C860" t="s">
        <v>1746</v>
      </c>
      <c r="D860" s="3" t="s">
        <v>1747</v>
      </c>
      <c r="E860" s="6">
        <v>5300</v>
      </c>
      <c r="F860" s="6">
        <v>7413</v>
      </c>
      <c r="G860" s="17">
        <f>ROUND(Table1[[#This Row],[pledged]]/Table1[[#This Row],[goal]]*100,2)</f>
        <v>139.87</v>
      </c>
      <c r="H860" s="5">
        <f>+Table1[[#This Row],[pledged]]/Table1[[#This Row],[goal]]</f>
        <v>1.3986792452830188</v>
      </c>
      <c r="I860" t="s">
        <v>20</v>
      </c>
      <c r="J860">
        <v>225</v>
      </c>
      <c r="K860" s="8">
        <f>IFERROR(Table1[[#This Row],[pledged]]/Table1[[#This Row],[backers_count]],"NA")</f>
        <v>32.946666666666665</v>
      </c>
      <c r="L860" t="s">
        <v>98</v>
      </c>
      <c r="M860" t="s">
        <v>99</v>
      </c>
      <c r="N860">
        <v>1328421600</v>
      </c>
      <c r="O860">
        <v>1330408800</v>
      </c>
      <c r="P860" s="11">
        <f>+(((Table1[[#This Row],[launched_at]]/60)/60)/24)+DATE(1970,1,1)</f>
        <v>40944.25</v>
      </c>
      <c r="Q860" s="11">
        <f>+(((Table1[[#This Row],[deadline]]/60)/60)/24)+DATE(1970,1,1)</f>
        <v>40967.25</v>
      </c>
      <c r="R860" t="b">
        <v>1</v>
      </c>
      <c r="S860" t="b">
        <v>0</v>
      </c>
      <c r="T860" t="s">
        <v>100</v>
      </c>
      <c r="U860" t="str">
        <f>+LEFT(Table1[[#This Row],[category &amp; sub-category]],FIND("/",Table1[[#This Row],[category &amp; sub-category]])-1)</f>
        <v>film &amp; video</v>
      </c>
      <c r="V860" t="str">
        <f>+RIGHT(Table1[[#This Row],[category &amp; sub-category]],LEN(Table1[[#This Row],[category &amp; sub-category]])-SEARCH("/",Table1[[#This Row],[category &amp; sub-category]]))</f>
        <v>shorts</v>
      </c>
    </row>
    <row r="861" spans="2:22" ht="15.75" customHeight="1" x14ac:dyDescent="0.25">
      <c r="B861">
        <v>858</v>
      </c>
      <c r="C861" t="s">
        <v>1748</v>
      </c>
      <c r="D861" s="3" t="s">
        <v>1749</v>
      </c>
      <c r="E861" s="6">
        <v>4000</v>
      </c>
      <c r="F861" s="6">
        <v>2778</v>
      </c>
      <c r="G861" s="17">
        <f>ROUND(Table1[[#This Row],[pledged]]/Table1[[#This Row],[goal]]*100,2)</f>
        <v>69.45</v>
      </c>
      <c r="H861" s="5">
        <f>+Table1[[#This Row],[pledged]]/Table1[[#This Row],[goal]]</f>
        <v>0.69450000000000001</v>
      </c>
      <c r="I861" t="s">
        <v>14</v>
      </c>
      <c r="J861">
        <v>35</v>
      </c>
      <c r="K861" s="8">
        <f>IFERROR(Table1[[#This Row],[pledged]]/Table1[[#This Row],[backers_count]],"NA")</f>
        <v>79.371428571428567</v>
      </c>
      <c r="L861" t="s">
        <v>21</v>
      </c>
      <c r="M861" t="s">
        <v>22</v>
      </c>
      <c r="N861">
        <v>1524286800</v>
      </c>
      <c r="O861">
        <v>1524891600</v>
      </c>
      <c r="P861" s="11">
        <f>+(((Table1[[#This Row],[launched_at]]/60)/60)/24)+DATE(1970,1,1)</f>
        <v>43211.208333333328</v>
      </c>
      <c r="Q861" s="11">
        <f>+(((Table1[[#This Row],[deadline]]/60)/60)/24)+DATE(1970,1,1)</f>
        <v>43218.208333333328</v>
      </c>
      <c r="R861" t="b">
        <v>1</v>
      </c>
      <c r="S861" t="b">
        <v>0</v>
      </c>
      <c r="T861" t="s">
        <v>17</v>
      </c>
      <c r="U861" t="str">
        <f>+LEFT(Table1[[#This Row],[category &amp; sub-category]],FIND("/",Table1[[#This Row],[category &amp; sub-category]])-1)</f>
        <v>food</v>
      </c>
      <c r="V861" t="str">
        <f>+RIGHT(Table1[[#This Row],[category &amp; sub-category]],LEN(Table1[[#This Row],[category &amp; sub-category]])-SEARCH("/",Table1[[#This Row],[category &amp; sub-category]]))</f>
        <v>food trucks</v>
      </c>
    </row>
    <row r="862" spans="2:22" ht="15.75" customHeight="1" x14ac:dyDescent="0.25">
      <c r="B862">
        <v>859</v>
      </c>
      <c r="C862" t="s">
        <v>1750</v>
      </c>
      <c r="D862" s="3" t="s">
        <v>1751</v>
      </c>
      <c r="E862" s="6">
        <v>7300</v>
      </c>
      <c r="F862" s="6">
        <v>2594</v>
      </c>
      <c r="G862" s="17">
        <f>ROUND(Table1[[#This Row],[pledged]]/Table1[[#This Row],[goal]]*100,2)</f>
        <v>35.53</v>
      </c>
      <c r="H862" s="5">
        <f>+Table1[[#This Row],[pledged]]/Table1[[#This Row],[goal]]</f>
        <v>0.35534246575342465</v>
      </c>
      <c r="I862" t="s">
        <v>14</v>
      </c>
      <c r="J862">
        <v>63</v>
      </c>
      <c r="K862" s="8">
        <f>IFERROR(Table1[[#This Row],[pledged]]/Table1[[#This Row],[backers_count]],"NA")</f>
        <v>41.174603174603178</v>
      </c>
      <c r="L862" t="s">
        <v>21</v>
      </c>
      <c r="M862" t="s">
        <v>22</v>
      </c>
      <c r="N862">
        <v>1362117600</v>
      </c>
      <c r="O862">
        <v>1363669200</v>
      </c>
      <c r="P862" s="11">
        <f>+(((Table1[[#This Row],[launched_at]]/60)/60)/24)+DATE(1970,1,1)</f>
        <v>41334.25</v>
      </c>
      <c r="Q862" s="11">
        <f>+(((Table1[[#This Row],[deadline]]/60)/60)/24)+DATE(1970,1,1)</f>
        <v>41352.208333333336</v>
      </c>
      <c r="R862" t="b">
        <v>0</v>
      </c>
      <c r="S862" t="b">
        <v>1</v>
      </c>
      <c r="T862" t="s">
        <v>33</v>
      </c>
      <c r="U862" t="str">
        <f>+LEFT(Table1[[#This Row],[category &amp; sub-category]],FIND("/",Table1[[#This Row],[category &amp; sub-category]])-1)</f>
        <v>theater</v>
      </c>
      <c r="V862" t="str">
        <f>+RIGHT(Table1[[#This Row],[category &amp; sub-category]],LEN(Table1[[#This Row],[category &amp; sub-category]])-SEARCH("/",Table1[[#This Row],[category &amp; sub-category]]))</f>
        <v>plays</v>
      </c>
    </row>
    <row r="863" spans="2:22" ht="15.75" customHeight="1" x14ac:dyDescent="0.25">
      <c r="B863">
        <v>860</v>
      </c>
      <c r="C863" t="s">
        <v>1752</v>
      </c>
      <c r="D863" s="3" t="s">
        <v>1753</v>
      </c>
      <c r="E863" s="6">
        <v>2000</v>
      </c>
      <c r="F863" s="6">
        <v>5033</v>
      </c>
      <c r="G863" s="17">
        <f>ROUND(Table1[[#This Row],[pledged]]/Table1[[#This Row],[goal]]*100,2)</f>
        <v>251.65</v>
      </c>
      <c r="H863" s="5">
        <f>+Table1[[#This Row],[pledged]]/Table1[[#This Row],[goal]]</f>
        <v>2.5165000000000002</v>
      </c>
      <c r="I863" t="s">
        <v>20</v>
      </c>
      <c r="J863">
        <v>65</v>
      </c>
      <c r="K863" s="8">
        <f>IFERROR(Table1[[#This Row],[pledged]]/Table1[[#This Row],[backers_count]],"NA")</f>
        <v>77.430769230769229</v>
      </c>
      <c r="L863" t="s">
        <v>21</v>
      </c>
      <c r="M863" t="s">
        <v>22</v>
      </c>
      <c r="N863">
        <v>1550556000</v>
      </c>
      <c r="O863">
        <v>1551420000</v>
      </c>
      <c r="P863" s="11">
        <f>+(((Table1[[#This Row],[launched_at]]/60)/60)/24)+DATE(1970,1,1)</f>
        <v>43515.25</v>
      </c>
      <c r="Q863" s="11">
        <f>+(((Table1[[#This Row],[deadline]]/60)/60)/24)+DATE(1970,1,1)</f>
        <v>43525.25</v>
      </c>
      <c r="R863" t="b">
        <v>0</v>
      </c>
      <c r="S863" t="b">
        <v>1</v>
      </c>
      <c r="T863" t="s">
        <v>65</v>
      </c>
      <c r="U863" t="str">
        <f>+LEFT(Table1[[#This Row],[category &amp; sub-category]],FIND("/",Table1[[#This Row],[category &amp; sub-category]])-1)</f>
        <v>technology</v>
      </c>
      <c r="V863" t="str">
        <f>+RIGHT(Table1[[#This Row],[category &amp; sub-category]],LEN(Table1[[#This Row],[category &amp; sub-category]])-SEARCH("/",Table1[[#This Row],[category &amp; sub-category]]))</f>
        <v>wearables</v>
      </c>
    </row>
    <row r="864" spans="2:22" ht="15.75" customHeight="1" x14ac:dyDescent="0.25">
      <c r="B864">
        <v>861</v>
      </c>
      <c r="C864" t="s">
        <v>1754</v>
      </c>
      <c r="D864" s="3" t="s">
        <v>1755</v>
      </c>
      <c r="E864" s="6">
        <v>8800</v>
      </c>
      <c r="F864" s="6">
        <v>9317</v>
      </c>
      <c r="G864" s="17">
        <f>ROUND(Table1[[#This Row],[pledged]]/Table1[[#This Row],[goal]]*100,2)</f>
        <v>105.88</v>
      </c>
      <c r="H864" s="5">
        <f>+Table1[[#This Row],[pledged]]/Table1[[#This Row],[goal]]</f>
        <v>1.0587500000000001</v>
      </c>
      <c r="I864" t="s">
        <v>20</v>
      </c>
      <c r="J864">
        <v>163</v>
      </c>
      <c r="K864" s="8">
        <f>IFERROR(Table1[[#This Row],[pledged]]/Table1[[#This Row],[backers_count]],"NA")</f>
        <v>57.159509202453989</v>
      </c>
      <c r="L864" t="s">
        <v>21</v>
      </c>
      <c r="M864" t="s">
        <v>22</v>
      </c>
      <c r="N864">
        <v>1269147600</v>
      </c>
      <c r="O864">
        <v>1269838800</v>
      </c>
      <c r="P864" s="11">
        <f>+(((Table1[[#This Row],[launched_at]]/60)/60)/24)+DATE(1970,1,1)</f>
        <v>40258.208333333336</v>
      </c>
      <c r="Q864" s="11">
        <f>+(((Table1[[#This Row],[deadline]]/60)/60)/24)+DATE(1970,1,1)</f>
        <v>40266.208333333336</v>
      </c>
      <c r="R864" t="b">
        <v>0</v>
      </c>
      <c r="S864" t="b">
        <v>0</v>
      </c>
      <c r="T864" t="s">
        <v>33</v>
      </c>
      <c r="U864" t="str">
        <f>+LEFT(Table1[[#This Row],[category &amp; sub-category]],FIND("/",Table1[[#This Row],[category &amp; sub-category]])-1)</f>
        <v>theater</v>
      </c>
      <c r="V864" t="str">
        <f>+RIGHT(Table1[[#This Row],[category &amp; sub-category]],LEN(Table1[[#This Row],[category &amp; sub-category]])-SEARCH("/",Table1[[#This Row],[category &amp; sub-category]]))</f>
        <v>plays</v>
      </c>
    </row>
    <row r="865" spans="2:22" ht="15.75" customHeight="1" x14ac:dyDescent="0.25">
      <c r="B865">
        <v>862</v>
      </c>
      <c r="C865" t="s">
        <v>1756</v>
      </c>
      <c r="D865" s="3" t="s">
        <v>1757</v>
      </c>
      <c r="E865" s="6">
        <v>3500</v>
      </c>
      <c r="F865" s="6">
        <v>6560</v>
      </c>
      <c r="G865" s="17">
        <f>ROUND(Table1[[#This Row],[pledged]]/Table1[[#This Row],[goal]]*100,2)</f>
        <v>187.43</v>
      </c>
      <c r="H865" s="5">
        <f>+Table1[[#This Row],[pledged]]/Table1[[#This Row],[goal]]</f>
        <v>1.8742857142857143</v>
      </c>
      <c r="I865" t="s">
        <v>20</v>
      </c>
      <c r="J865">
        <v>85</v>
      </c>
      <c r="K865" s="8">
        <f>IFERROR(Table1[[#This Row],[pledged]]/Table1[[#This Row],[backers_count]],"NA")</f>
        <v>77.17647058823529</v>
      </c>
      <c r="L865" t="s">
        <v>21</v>
      </c>
      <c r="M865" t="s">
        <v>22</v>
      </c>
      <c r="N865">
        <v>1312174800</v>
      </c>
      <c r="O865">
        <v>1312520400</v>
      </c>
      <c r="P865" s="11">
        <f>+(((Table1[[#This Row],[launched_at]]/60)/60)/24)+DATE(1970,1,1)</f>
        <v>40756.208333333336</v>
      </c>
      <c r="Q865" s="11">
        <f>+(((Table1[[#This Row],[deadline]]/60)/60)/24)+DATE(1970,1,1)</f>
        <v>40760.208333333336</v>
      </c>
      <c r="R865" t="b">
        <v>0</v>
      </c>
      <c r="S865" t="b">
        <v>0</v>
      </c>
      <c r="T865" t="s">
        <v>33</v>
      </c>
      <c r="U865" t="str">
        <f>+LEFT(Table1[[#This Row],[category &amp; sub-category]],FIND("/",Table1[[#This Row],[category &amp; sub-category]])-1)</f>
        <v>theater</v>
      </c>
      <c r="V865" t="str">
        <f>+RIGHT(Table1[[#This Row],[category &amp; sub-category]],LEN(Table1[[#This Row],[category &amp; sub-category]])-SEARCH("/",Table1[[#This Row],[category &amp; sub-category]]))</f>
        <v>plays</v>
      </c>
    </row>
    <row r="866" spans="2:22" ht="15.75" customHeight="1" x14ac:dyDescent="0.25">
      <c r="B866">
        <v>863</v>
      </c>
      <c r="C866" t="s">
        <v>1758</v>
      </c>
      <c r="D866" s="3" t="s">
        <v>1759</v>
      </c>
      <c r="E866" s="6">
        <v>1400</v>
      </c>
      <c r="F866" s="6">
        <v>5415</v>
      </c>
      <c r="G866" s="17">
        <f>ROUND(Table1[[#This Row],[pledged]]/Table1[[#This Row],[goal]]*100,2)</f>
        <v>386.79</v>
      </c>
      <c r="H866" s="5">
        <f>+Table1[[#This Row],[pledged]]/Table1[[#This Row],[goal]]</f>
        <v>3.8678571428571429</v>
      </c>
      <c r="I866" t="s">
        <v>20</v>
      </c>
      <c r="J866">
        <v>217</v>
      </c>
      <c r="K866" s="8">
        <f>IFERROR(Table1[[#This Row],[pledged]]/Table1[[#This Row],[backers_count]],"NA")</f>
        <v>24.953917050691246</v>
      </c>
      <c r="L866" t="s">
        <v>21</v>
      </c>
      <c r="M866" t="s">
        <v>22</v>
      </c>
      <c r="N866">
        <v>1434517200</v>
      </c>
      <c r="O866">
        <v>1436504400</v>
      </c>
      <c r="P866" s="11">
        <f>+(((Table1[[#This Row],[launched_at]]/60)/60)/24)+DATE(1970,1,1)</f>
        <v>42172.208333333328</v>
      </c>
      <c r="Q866" s="11">
        <f>+(((Table1[[#This Row],[deadline]]/60)/60)/24)+DATE(1970,1,1)</f>
        <v>42195.208333333328</v>
      </c>
      <c r="R866" t="b">
        <v>0</v>
      </c>
      <c r="S866" t="b">
        <v>1</v>
      </c>
      <c r="T866" t="s">
        <v>269</v>
      </c>
      <c r="U866" t="str">
        <f>+LEFT(Table1[[#This Row],[category &amp; sub-category]],FIND("/",Table1[[#This Row],[category &amp; sub-category]])-1)</f>
        <v>film &amp; video</v>
      </c>
      <c r="V866" t="str">
        <f>+RIGHT(Table1[[#This Row],[category &amp; sub-category]],LEN(Table1[[#This Row],[category &amp; sub-category]])-SEARCH("/",Table1[[#This Row],[category &amp; sub-category]]))</f>
        <v>television</v>
      </c>
    </row>
    <row r="867" spans="2:22" ht="15.75" customHeight="1" x14ac:dyDescent="0.25">
      <c r="B867">
        <v>864</v>
      </c>
      <c r="C867" t="s">
        <v>1760</v>
      </c>
      <c r="D867" s="3" t="s">
        <v>1761</v>
      </c>
      <c r="E867" s="6">
        <v>4200</v>
      </c>
      <c r="F867" s="6">
        <v>14577</v>
      </c>
      <c r="G867" s="17">
        <f>ROUND(Table1[[#This Row],[pledged]]/Table1[[#This Row],[goal]]*100,2)</f>
        <v>347.07</v>
      </c>
      <c r="H867" s="5">
        <f>+Table1[[#This Row],[pledged]]/Table1[[#This Row],[goal]]</f>
        <v>3.4707142857142856</v>
      </c>
      <c r="I867" t="s">
        <v>20</v>
      </c>
      <c r="J867">
        <v>150</v>
      </c>
      <c r="K867" s="8">
        <f>IFERROR(Table1[[#This Row],[pledged]]/Table1[[#This Row],[backers_count]],"NA")</f>
        <v>97.18</v>
      </c>
      <c r="L867" t="s">
        <v>21</v>
      </c>
      <c r="M867" t="s">
        <v>22</v>
      </c>
      <c r="N867">
        <v>1471582800</v>
      </c>
      <c r="O867">
        <v>1472014800</v>
      </c>
      <c r="P867" s="11">
        <f>+(((Table1[[#This Row],[launched_at]]/60)/60)/24)+DATE(1970,1,1)</f>
        <v>42601.208333333328</v>
      </c>
      <c r="Q867" s="11">
        <f>+(((Table1[[#This Row],[deadline]]/60)/60)/24)+DATE(1970,1,1)</f>
        <v>42606.208333333328</v>
      </c>
      <c r="R867" t="b">
        <v>0</v>
      </c>
      <c r="S867" t="b">
        <v>0</v>
      </c>
      <c r="T867" t="s">
        <v>100</v>
      </c>
      <c r="U867" t="str">
        <f>+LEFT(Table1[[#This Row],[category &amp; sub-category]],FIND("/",Table1[[#This Row],[category &amp; sub-category]])-1)</f>
        <v>film &amp; video</v>
      </c>
      <c r="V867" t="str">
        <f>+RIGHT(Table1[[#This Row],[category &amp; sub-category]],LEN(Table1[[#This Row],[category &amp; sub-category]])-SEARCH("/",Table1[[#This Row],[category &amp; sub-category]]))</f>
        <v>shorts</v>
      </c>
    </row>
    <row r="868" spans="2:22" ht="15.75" customHeight="1" x14ac:dyDescent="0.25">
      <c r="B868">
        <v>865</v>
      </c>
      <c r="C868" t="s">
        <v>1762</v>
      </c>
      <c r="D868" s="3" t="s">
        <v>1763</v>
      </c>
      <c r="E868" s="6">
        <v>81000</v>
      </c>
      <c r="F868" s="6">
        <v>150515</v>
      </c>
      <c r="G868" s="17">
        <f>ROUND(Table1[[#This Row],[pledged]]/Table1[[#This Row],[goal]]*100,2)</f>
        <v>185.82</v>
      </c>
      <c r="H868" s="5">
        <f>+Table1[[#This Row],[pledged]]/Table1[[#This Row],[goal]]</f>
        <v>1.8582098765432098</v>
      </c>
      <c r="I868" t="s">
        <v>20</v>
      </c>
      <c r="J868">
        <v>3272</v>
      </c>
      <c r="K868" s="8">
        <f>IFERROR(Table1[[#This Row],[pledged]]/Table1[[#This Row],[backers_count]],"NA")</f>
        <v>46.000916870415651</v>
      </c>
      <c r="L868" t="s">
        <v>21</v>
      </c>
      <c r="M868" t="s">
        <v>22</v>
      </c>
      <c r="N868">
        <v>1410757200</v>
      </c>
      <c r="O868">
        <v>1411534800</v>
      </c>
      <c r="P868" s="11">
        <f>+(((Table1[[#This Row],[launched_at]]/60)/60)/24)+DATE(1970,1,1)</f>
        <v>41897.208333333336</v>
      </c>
      <c r="Q868" s="11">
        <f>+(((Table1[[#This Row],[deadline]]/60)/60)/24)+DATE(1970,1,1)</f>
        <v>41906.208333333336</v>
      </c>
      <c r="R868" t="b">
        <v>0</v>
      </c>
      <c r="S868" t="b">
        <v>0</v>
      </c>
      <c r="T868" t="s">
        <v>33</v>
      </c>
      <c r="U868" t="str">
        <f>+LEFT(Table1[[#This Row],[category &amp; sub-category]],FIND("/",Table1[[#This Row],[category &amp; sub-category]])-1)</f>
        <v>theater</v>
      </c>
      <c r="V868" t="str">
        <f>+RIGHT(Table1[[#This Row],[category &amp; sub-category]],LEN(Table1[[#This Row],[category &amp; sub-category]])-SEARCH("/",Table1[[#This Row],[category &amp; sub-category]]))</f>
        <v>plays</v>
      </c>
    </row>
    <row r="869" spans="2:22" ht="15.75" customHeight="1" x14ac:dyDescent="0.25">
      <c r="B869">
        <v>866</v>
      </c>
      <c r="C869" t="s">
        <v>1764</v>
      </c>
      <c r="D869" s="3" t="s">
        <v>1765</v>
      </c>
      <c r="E869" s="6">
        <v>182800</v>
      </c>
      <c r="F869" s="6">
        <v>79045</v>
      </c>
      <c r="G869" s="17">
        <f>ROUND(Table1[[#This Row],[pledged]]/Table1[[#This Row],[goal]]*100,2)</f>
        <v>43.24</v>
      </c>
      <c r="H869" s="5">
        <f>+Table1[[#This Row],[pledged]]/Table1[[#This Row],[goal]]</f>
        <v>0.43241247264770238</v>
      </c>
      <c r="I869" t="s">
        <v>74</v>
      </c>
      <c r="J869">
        <v>898</v>
      </c>
      <c r="K869" s="8">
        <f>IFERROR(Table1[[#This Row],[pledged]]/Table1[[#This Row],[backers_count]],"NA")</f>
        <v>88.023385300668153</v>
      </c>
      <c r="L869" t="s">
        <v>21</v>
      </c>
      <c r="M869" t="s">
        <v>22</v>
      </c>
      <c r="N869">
        <v>1304830800</v>
      </c>
      <c r="O869">
        <v>1304917200</v>
      </c>
      <c r="P869" s="11">
        <f>+(((Table1[[#This Row],[launched_at]]/60)/60)/24)+DATE(1970,1,1)</f>
        <v>40671.208333333336</v>
      </c>
      <c r="Q869" s="11">
        <f>+(((Table1[[#This Row],[deadline]]/60)/60)/24)+DATE(1970,1,1)</f>
        <v>40672.208333333336</v>
      </c>
      <c r="R869" t="b">
        <v>0</v>
      </c>
      <c r="S869" t="b">
        <v>0</v>
      </c>
      <c r="T869" t="s">
        <v>122</v>
      </c>
      <c r="U869" t="str">
        <f>+LEFT(Table1[[#This Row],[category &amp; sub-category]],FIND("/",Table1[[#This Row],[category &amp; sub-category]])-1)</f>
        <v>photography</v>
      </c>
      <c r="V869" t="str">
        <f>+RIGHT(Table1[[#This Row],[category &amp; sub-category]],LEN(Table1[[#This Row],[category &amp; sub-category]])-SEARCH("/",Table1[[#This Row],[category &amp; sub-category]]))</f>
        <v>photography books</v>
      </c>
    </row>
    <row r="870" spans="2:22" ht="15.75" customHeight="1" x14ac:dyDescent="0.25">
      <c r="B870">
        <v>867</v>
      </c>
      <c r="C870" t="s">
        <v>1766</v>
      </c>
      <c r="D870" s="3" t="s">
        <v>1767</v>
      </c>
      <c r="E870" s="6">
        <v>4800</v>
      </c>
      <c r="F870" s="6">
        <v>7797</v>
      </c>
      <c r="G870" s="17">
        <f>ROUND(Table1[[#This Row],[pledged]]/Table1[[#This Row],[goal]]*100,2)</f>
        <v>162.44</v>
      </c>
      <c r="H870" s="5">
        <f>+Table1[[#This Row],[pledged]]/Table1[[#This Row],[goal]]</f>
        <v>1.6243749999999999</v>
      </c>
      <c r="I870" t="s">
        <v>20</v>
      </c>
      <c r="J870">
        <v>300</v>
      </c>
      <c r="K870" s="8">
        <f>IFERROR(Table1[[#This Row],[pledged]]/Table1[[#This Row],[backers_count]],"NA")</f>
        <v>25.99</v>
      </c>
      <c r="L870" t="s">
        <v>21</v>
      </c>
      <c r="M870" t="s">
        <v>22</v>
      </c>
      <c r="N870">
        <v>1539061200</v>
      </c>
      <c r="O870">
        <v>1539579600</v>
      </c>
      <c r="P870" s="11">
        <f>+(((Table1[[#This Row],[launched_at]]/60)/60)/24)+DATE(1970,1,1)</f>
        <v>43382.208333333328</v>
      </c>
      <c r="Q870" s="11">
        <f>+(((Table1[[#This Row],[deadline]]/60)/60)/24)+DATE(1970,1,1)</f>
        <v>43388.208333333328</v>
      </c>
      <c r="R870" t="b">
        <v>0</v>
      </c>
      <c r="S870" t="b">
        <v>0</v>
      </c>
      <c r="T870" t="s">
        <v>17</v>
      </c>
      <c r="U870" t="str">
        <f>+LEFT(Table1[[#This Row],[category &amp; sub-category]],FIND("/",Table1[[#This Row],[category &amp; sub-category]])-1)</f>
        <v>food</v>
      </c>
      <c r="V870" t="str">
        <f>+RIGHT(Table1[[#This Row],[category &amp; sub-category]],LEN(Table1[[#This Row],[category &amp; sub-category]])-SEARCH("/",Table1[[#This Row],[category &amp; sub-category]]))</f>
        <v>food trucks</v>
      </c>
    </row>
    <row r="871" spans="2:22" ht="15.75" customHeight="1" x14ac:dyDescent="0.25">
      <c r="B871">
        <v>868</v>
      </c>
      <c r="C871" t="s">
        <v>1768</v>
      </c>
      <c r="D871" s="3" t="s">
        <v>1769</v>
      </c>
      <c r="E871" s="6">
        <v>7000</v>
      </c>
      <c r="F871" s="6">
        <v>12939</v>
      </c>
      <c r="G871" s="17">
        <f>ROUND(Table1[[#This Row],[pledged]]/Table1[[#This Row],[goal]]*100,2)</f>
        <v>184.84</v>
      </c>
      <c r="H871" s="5">
        <f>+Table1[[#This Row],[pledged]]/Table1[[#This Row],[goal]]</f>
        <v>1.8484285714285715</v>
      </c>
      <c r="I871" t="s">
        <v>20</v>
      </c>
      <c r="J871">
        <v>126</v>
      </c>
      <c r="K871" s="8">
        <f>IFERROR(Table1[[#This Row],[pledged]]/Table1[[#This Row],[backers_count]],"NA")</f>
        <v>102.69047619047619</v>
      </c>
      <c r="L871" t="s">
        <v>21</v>
      </c>
      <c r="M871" t="s">
        <v>22</v>
      </c>
      <c r="N871">
        <v>1381554000</v>
      </c>
      <c r="O871">
        <v>1382504400</v>
      </c>
      <c r="P871" s="11">
        <f>+(((Table1[[#This Row],[launched_at]]/60)/60)/24)+DATE(1970,1,1)</f>
        <v>41559.208333333336</v>
      </c>
      <c r="Q871" s="11">
        <f>+(((Table1[[#This Row],[deadline]]/60)/60)/24)+DATE(1970,1,1)</f>
        <v>41570.208333333336</v>
      </c>
      <c r="R871" t="b">
        <v>0</v>
      </c>
      <c r="S871" t="b">
        <v>0</v>
      </c>
      <c r="T871" t="s">
        <v>33</v>
      </c>
      <c r="U871" t="str">
        <f>+LEFT(Table1[[#This Row],[category &amp; sub-category]],FIND("/",Table1[[#This Row],[category &amp; sub-category]])-1)</f>
        <v>theater</v>
      </c>
      <c r="V871" t="str">
        <f>+RIGHT(Table1[[#This Row],[category &amp; sub-category]],LEN(Table1[[#This Row],[category &amp; sub-category]])-SEARCH("/",Table1[[#This Row],[category &amp; sub-category]]))</f>
        <v>plays</v>
      </c>
    </row>
    <row r="872" spans="2:22" ht="15.75" customHeight="1" x14ac:dyDescent="0.25">
      <c r="B872">
        <v>869</v>
      </c>
      <c r="C872" t="s">
        <v>1770</v>
      </c>
      <c r="D872" s="3" t="s">
        <v>1771</v>
      </c>
      <c r="E872" s="6">
        <v>161900</v>
      </c>
      <c r="F872" s="6">
        <v>38376</v>
      </c>
      <c r="G872" s="17">
        <f>ROUND(Table1[[#This Row],[pledged]]/Table1[[#This Row],[goal]]*100,2)</f>
        <v>23.7</v>
      </c>
      <c r="H872" s="5">
        <f>+Table1[[#This Row],[pledged]]/Table1[[#This Row],[goal]]</f>
        <v>0.23703520691785052</v>
      </c>
      <c r="I872" t="s">
        <v>14</v>
      </c>
      <c r="J872">
        <v>526</v>
      </c>
      <c r="K872" s="8">
        <f>IFERROR(Table1[[#This Row],[pledged]]/Table1[[#This Row],[backers_count]],"NA")</f>
        <v>72.958174904942965</v>
      </c>
      <c r="L872" t="s">
        <v>21</v>
      </c>
      <c r="M872" t="s">
        <v>22</v>
      </c>
      <c r="N872">
        <v>1277096400</v>
      </c>
      <c r="O872">
        <v>1278306000</v>
      </c>
      <c r="P872" s="11">
        <f>+(((Table1[[#This Row],[launched_at]]/60)/60)/24)+DATE(1970,1,1)</f>
        <v>40350.208333333336</v>
      </c>
      <c r="Q872" s="11">
        <f>+(((Table1[[#This Row],[deadline]]/60)/60)/24)+DATE(1970,1,1)</f>
        <v>40364.208333333336</v>
      </c>
      <c r="R872" t="b">
        <v>0</v>
      </c>
      <c r="S872" t="b">
        <v>0</v>
      </c>
      <c r="T872" t="s">
        <v>53</v>
      </c>
      <c r="U872" t="str">
        <f>+LEFT(Table1[[#This Row],[category &amp; sub-category]],FIND("/",Table1[[#This Row],[category &amp; sub-category]])-1)</f>
        <v>film &amp; video</v>
      </c>
      <c r="V872" t="str">
        <f>+RIGHT(Table1[[#This Row],[category &amp; sub-category]],LEN(Table1[[#This Row],[category &amp; sub-category]])-SEARCH("/",Table1[[#This Row],[category &amp; sub-category]]))</f>
        <v>drama</v>
      </c>
    </row>
    <row r="873" spans="2:22" ht="15.75" customHeight="1" x14ac:dyDescent="0.25">
      <c r="B873">
        <v>870</v>
      </c>
      <c r="C873" t="s">
        <v>1772</v>
      </c>
      <c r="D873" s="3" t="s">
        <v>1773</v>
      </c>
      <c r="E873" s="6">
        <v>7700</v>
      </c>
      <c r="F873" s="6">
        <v>6920</v>
      </c>
      <c r="G873" s="17">
        <f>ROUND(Table1[[#This Row],[pledged]]/Table1[[#This Row],[goal]]*100,2)</f>
        <v>89.87</v>
      </c>
      <c r="H873" s="5">
        <f>+Table1[[#This Row],[pledged]]/Table1[[#This Row],[goal]]</f>
        <v>0.89870129870129867</v>
      </c>
      <c r="I873" t="s">
        <v>14</v>
      </c>
      <c r="J873">
        <v>121</v>
      </c>
      <c r="K873" s="8">
        <f>IFERROR(Table1[[#This Row],[pledged]]/Table1[[#This Row],[backers_count]],"NA")</f>
        <v>57.190082644628099</v>
      </c>
      <c r="L873" t="s">
        <v>21</v>
      </c>
      <c r="M873" t="s">
        <v>22</v>
      </c>
      <c r="N873">
        <v>1440392400</v>
      </c>
      <c r="O873">
        <v>1442552400</v>
      </c>
      <c r="P873" s="11">
        <f>+(((Table1[[#This Row],[launched_at]]/60)/60)/24)+DATE(1970,1,1)</f>
        <v>42240.208333333328</v>
      </c>
      <c r="Q873" s="11">
        <f>+(((Table1[[#This Row],[deadline]]/60)/60)/24)+DATE(1970,1,1)</f>
        <v>42265.208333333328</v>
      </c>
      <c r="R873" t="b">
        <v>0</v>
      </c>
      <c r="S873" t="b">
        <v>0</v>
      </c>
      <c r="T873" t="s">
        <v>33</v>
      </c>
      <c r="U873" t="str">
        <f>+LEFT(Table1[[#This Row],[category &amp; sub-category]],FIND("/",Table1[[#This Row],[category &amp; sub-category]])-1)</f>
        <v>theater</v>
      </c>
      <c r="V873" t="str">
        <f>+RIGHT(Table1[[#This Row],[category &amp; sub-category]],LEN(Table1[[#This Row],[category &amp; sub-category]])-SEARCH("/",Table1[[#This Row],[category &amp; sub-category]]))</f>
        <v>plays</v>
      </c>
    </row>
    <row r="874" spans="2:22" ht="15.75" customHeight="1" x14ac:dyDescent="0.25">
      <c r="B874">
        <v>871</v>
      </c>
      <c r="C874" t="s">
        <v>1774</v>
      </c>
      <c r="D874" s="3" t="s">
        <v>1775</v>
      </c>
      <c r="E874" s="6">
        <v>71500</v>
      </c>
      <c r="F874" s="6">
        <v>194912</v>
      </c>
      <c r="G874" s="17">
        <f>ROUND(Table1[[#This Row],[pledged]]/Table1[[#This Row],[goal]]*100,2)</f>
        <v>272.60000000000002</v>
      </c>
      <c r="H874" s="5">
        <f>+Table1[[#This Row],[pledged]]/Table1[[#This Row],[goal]]</f>
        <v>2.7260419580419581</v>
      </c>
      <c r="I874" t="s">
        <v>20</v>
      </c>
      <c r="J874">
        <v>2320</v>
      </c>
      <c r="K874" s="8">
        <f>IFERROR(Table1[[#This Row],[pledged]]/Table1[[#This Row],[backers_count]],"NA")</f>
        <v>84.013793103448279</v>
      </c>
      <c r="L874" t="s">
        <v>21</v>
      </c>
      <c r="M874" t="s">
        <v>22</v>
      </c>
      <c r="N874">
        <v>1509512400</v>
      </c>
      <c r="O874">
        <v>1511071200</v>
      </c>
      <c r="P874" s="11">
        <f>+(((Table1[[#This Row],[launched_at]]/60)/60)/24)+DATE(1970,1,1)</f>
        <v>43040.208333333328</v>
      </c>
      <c r="Q874" s="11">
        <f>+(((Table1[[#This Row],[deadline]]/60)/60)/24)+DATE(1970,1,1)</f>
        <v>43058.25</v>
      </c>
      <c r="R874" t="b">
        <v>0</v>
      </c>
      <c r="S874" t="b">
        <v>1</v>
      </c>
      <c r="T874" t="s">
        <v>33</v>
      </c>
      <c r="U874" t="str">
        <f>+LEFT(Table1[[#This Row],[category &amp; sub-category]],FIND("/",Table1[[#This Row],[category &amp; sub-category]])-1)</f>
        <v>theater</v>
      </c>
      <c r="V874" t="str">
        <f>+RIGHT(Table1[[#This Row],[category &amp; sub-category]],LEN(Table1[[#This Row],[category &amp; sub-category]])-SEARCH("/",Table1[[#This Row],[category &amp; sub-category]]))</f>
        <v>plays</v>
      </c>
    </row>
    <row r="875" spans="2:22" ht="15.75" customHeight="1" x14ac:dyDescent="0.25">
      <c r="B875">
        <v>872</v>
      </c>
      <c r="C875" t="s">
        <v>1776</v>
      </c>
      <c r="D875" s="3" t="s">
        <v>1777</v>
      </c>
      <c r="E875" s="6">
        <v>4700</v>
      </c>
      <c r="F875" s="6">
        <v>7992</v>
      </c>
      <c r="G875" s="17">
        <f>ROUND(Table1[[#This Row],[pledged]]/Table1[[#This Row],[goal]]*100,2)</f>
        <v>170.04</v>
      </c>
      <c r="H875" s="5">
        <f>+Table1[[#This Row],[pledged]]/Table1[[#This Row],[goal]]</f>
        <v>1.7004255319148935</v>
      </c>
      <c r="I875" t="s">
        <v>20</v>
      </c>
      <c r="J875">
        <v>81</v>
      </c>
      <c r="K875" s="8">
        <f>IFERROR(Table1[[#This Row],[pledged]]/Table1[[#This Row],[backers_count]],"NA")</f>
        <v>98.666666666666671</v>
      </c>
      <c r="L875" t="s">
        <v>26</v>
      </c>
      <c r="M875" t="s">
        <v>27</v>
      </c>
      <c r="N875">
        <v>1535950800</v>
      </c>
      <c r="O875">
        <v>1536382800</v>
      </c>
      <c r="P875" s="11">
        <f>+(((Table1[[#This Row],[launched_at]]/60)/60)/24)+DATE(1970,1,1)</f>
        <v>43346.208333333328</v>
      </c>
      <c r="Q875" s="11">
        <f>+(((Table1[[#This Row],[deadline]]/60)/60)/24)+DATE(1970,1,1)</f>
        <v>43351.208333333328</v>
      </c>
      <c r="R875" t="b">
        <v>0</v>
      </c>
      <c r="S875" t="b">
        <v>0</v>
      </c>
      <c r="T875" t="s">
        <v>474</v>
      </c>
      <c r="U875" t="str">
        <f>+LEFT(Table1[[#This Row],[category &amp; sub-category]],FIND("/",Table1[[#This Row],[category &amp; sub-category]])-1)</f>
        <v>film &amp; video</v>
      </c>
      <c r="V875" t="str">
        <f>+RIGHT(Table1[[#This Row],[category &amp; sub-category]],LEN(Table1[[#This Row],[category &amp; sub-category]])-SEARCH("/",Table1[[#This Row],[category &amp; sub-category]]))</f>
        <v>science fiction</v>
      </c>
    </row>
    <row r="876" spans="2:22" ht="15.75" customHeight="1" x14ac:dyDescent="0.25">
      <c r="B876">
        <v>873</v>
      </c>
      <c r="C876" t="s">
        <v>1778</v>
      </c>
      <c r="D876" s="3" t="s">
        <v>1779</v>
      </c>
      <c r="E876" s="6">
        <v>42100</v>
      </c>
      <c r="F876" s="6">
        <v>79268</v>
      </c>
      <c r="G876" s="17">
        <f>ROUND(Table1[[#This Row],[pledged]]/Table1[[#This Row],[goal]]*100,2)</f>
        <v>188.29</v>
      </c>
      <c r="H876" s="5">
        <f>+Table1[[#This Row],[pledged]]/Table1[[#This Row],[goal]]</f>
        <v>1.8828503562945369</v>
      </c>
      <c r="I876" t="s">
        <v>20</v>
      </c>
      <c r="J876">
        <v>1887</v>
      </c>
      <c r="K876" s="8">
        <f>IFERROR(Table1[[#This Row],[pledged]]/Table1[[#This Row],[backers_count]],"NA")</f>
        <v>42.007419183889773</v>
      </c>
      <c r="L876" t="s">
        <v>21</v>
      </c>
      <c r="M876" t="s">
        <v>22</v>
      </c>
      <c r="N876">
        <v>1389160800</v>
      </c>
      <c r="O876">
        <v>1389592800</v>
      </c>
      <c r="P876" s="11">
        <f>+(((Table1[[#This Row],[launched_at]]/60)/60)/24)+DATE(1970,1,1)</f>
        <v>41647.25</v>
      </c>
      <c r="Q876" s="11">
        <f>+(((Table1[[#This Row],[deadline]]/60)/60)/24)+DATE(1970,1,1)</f>
        <v>41652.25</v>
      </c>
      <c r="R876" t="b">
        <v>0</v>
      </c>
      <c r="S876" t="b">
        <v>0</v>
      </c>
      <c r="T876" t="s">
        <v>122</v>
      </c>
      <c r="U876" t="str">
        <f>+LEFT(Table1[[#This Row],[category &amp; sub-category]],FIND("/",Table1[[#This Row],[category &amp; sub-category]])-1)</f>
        <v>photography</v>
      </c>
      <c r="V876" t="str">
        <f>+RIGHT(Table1[[#This Row],[category &amp; sub-category]],LEN(Table1[[#This Row],[category &amp; sub-category]])-SEARCH("/",Table1[[#This Row],[category &amp; sub-category]]))</f>
        <v>photography books</v>
      </c>
    </row>
    <row r="877" spans="2:22" ht="15.75" customHeight="1" x14ac:dyDescent="0.25">
      <c r="B877">
        <v>874</v>
      </c>
      <c r="C877" t="s">
        <v>1780</v>
      </c>
      <c r="D877" s="3" t="s">
        <v>1781</v>
      </c>
      <c r="E877" s="6">
        <v>40200</v>
      </c>
      <c r="F877" s="6">
        <v>139468</v>
      </c>
      <c r="G877" s="17">
        <f>ROUND(Table1[[#This Row],[pledged]]/Table1[[#This Row],[goal]]*100,2)</f>
        <v>346.94</v>
      </c>
      <c r="H877" s="5">
        <f>+Table1[[#This Row],[pledged]]/Table1[[#This Row],[goal]]</f>
        <v>3.4693532338308457</v>
      </c>
      <c r="I877" t="s">
        <v>20</v>
      </c>
      <c r="J877">
        <v>4358</v>
      </c>
      <c r="K877" s="8">
        <f>IFERROR(Table1[[#This Row],[pledged]]/Table1[[#This Row],[backers_count]],"NA")</f>
        <v>32.002753556677376</v>
      </c>
      <c r="L877" t="s">
        <v>21</v>
      </c>
      <c r="M877" t="s">
        <v>22</v>
      </c>
      <c r="N877">
        <v>1271998800</v>
      </c>
      <c r="O877">
        <v>1275282000</v>
      </c>
      <c r="P877" s="11">
        <f>+(((Table1[[#This Row],[launched_at]]/60)/60)/24)+DATE(1970,1,1)</f>
        <v>40291.208333333336</v>
      </c>
      <c r="Q877" s="11">
        <f>+(((Table1[[#This Row],[deadline]]/60)/60)/24)+DATE(1970,1,1)</f>
        <v>40329.208333333336</v>
      </c>
      <c r="R877" t="b">
        <v>0</v>
      </c>
      <c r="S877" t="b">
        <v>1</v>
      </c>
      <c r="T877" t="s">
        <v>122</v>
      </c>
      <c r="U877" t="str">
        <f>+LEFT(Table1[[#This Row],[category &amp; sub-category]],FIND("/",Table1[[#This Row],[category &amp; sub-category]])-1)</f>
        <v>photography</v>
      </c>
      <c r="V877" t="str">
        <f>+RIGHT(Table1[[#This Row],[category &amp; sub-category]],LEN(Table1[[#This Row],[category &amp; sub-category]])-SEARCH("/",Table1[[#This Row],[category &amp; sub-category]]))</f>
        <v>photography books</v>
      </c>
    </row>
    <row r="878" spans="2:22" ht="15.75" customHeight="1" x14ac:dyDescent="0.25">
      <c r="B878">
        <v>875</v>
      </c>
      <c r="C878" t="s">
        <v>1782</v>
      </c>
      <c r="D878" s="3" t="s">
        <v>1783</v>
      </c>
      <c r="E878" s="6">
        <v>7900</v>
      </c>
      <c r="F878" s="6">
        <v>5465</v>
      </c>
      <c r="G878" s="17">
        <f>ROUND(Table1[[#This Row],[pledged]]/Table1[[#This Row],[goal]]*100,2)</f>
        <v>69.180000000000007</v>
      </c>
      <c r="H878" s="5">
        <f>+Table1[[#This Row],[pledged]]/Table1[[#This Row],[goal]]</f>
        <v>0.6917721518987342</v>
      </c>
      <c r="I878" t="s">
        <v>14</v>
      </c>
      <c r="J878">
        <v>67</v>
      </c>
      <c r="K878" s="8">
        <f>IFERROR(Table1[[#This Row],[pledged]]/Table1[[#This Row],[backers_count]],"NA")</f>
        <v>81.567164179104481</v>
      </c>
      <c r="L878" t="s">
        <v>21</v>
      </c>
      <c r="M878" t="s">
        <v>22</v>
      </c>
      <c r="N878">
        <v>1294898400</v>
      </c>
      <c r="O878">
        <v>1294984800</v>
      </c>
      <c r="P878" s="11">
        <f>+(((Table1[[#This Row],[launched_at]]/60)/60)/24)+DATE(1970,1,1)</f>
        <v>40556.25</v>
      </c>
      <c r="Q878" s="11">
        <f>+(((Table1[[#This Row],[deadline]]/60)/60)/24)+DATE(1970,1,1)</f>
        <v>40557.25</v>
      </c>
      <c r="R878" t="b">
        <v>0</v>
      </c>
      <c r="S878" t="b">
        <v>0</v>
      </c>
      <c r="T878" t="s">
        <v>23</v>
      </c>
      <c r="U878" t="str">
        <f>+LEFT(Table1[[#This Row],[category &amp; sub-category]],FIND("/",Table1[[#This Row],[category &amp; sub-category]])-1)</f>
        <v>music</v>
      </c>
      <c r="V878" t="str">
        <f>+RIGHT(Table1[[#This Row],[category &amp; sub-category]],LEN(Table1[[#This Row],[category &amp; sub-category]])-SEARCH("/",Table1[[#This Row],[category &amp; sub-category]]))</f>
        <v>rock</v>
      </c>
    </row>
    <row r="879" spans="2:22" ht="15.75" customHeight="1" x14ac:dyDescent="0.25">
      <c r="B879">
        <v>876</v>
      </c>
      <c r="C879" t="s">
        <v>1784</v>
      </c>
      <c r="D879" s="3" t="s">
        <v>1785</v>
      </c>
      <c r="E879" s="6">
        <v>8300</v>
      </c>
      <c r="F879" s="6">
        <v>2111</v>
      </c>
      <c r="G879" s="17">
        <f>ROUND(Table1[[#This Row],[pledged]]/Table1[[#This Row],[goal]]*100,2)</f>
        <v>25.43</v>
      </c>
      <c r="H879" s="5">
        <f>+Table1[[#This Row],[pledged]]/Table1[[#This Row],[goal]]</f>
        <v>0.25433734939759034</v>
      </c>
      <c r="I879" t="s">
        <v>14</v>
      </c>
      <c r="J879">
        <v>57</v>
      </c>
      <c r="K879" s="8">
        <f>IFERROR(Table1[[#This Row],[pledged]]/Table1[[#This Row],[backers_count]],"NA")</f>
        <v>37.035087719298247</v>
      </c>
      <c r="L879" t="s">
        <v>15</v>
      </c>
      <c r="M879" t="s">
        <v>16</v>
      </c>
      <c r="N879">
        <v>1559970000</v>
      </c>
      <c r="O879">
        <v>1562043600</v>
      </c>
      <c r="P879" s="11">
        <f>+(((Table1[[#This Row],[launched_at]]/60)/60)/24)+DATE(1970,1,1)</f>
        <v>43624.208333333328</v>
      </c>
      <c r="Q879" s="11">
        <f>+(((Table1[[#This Row],[deadline]]/60)/60)/24)+DATE(1970,1,1)</f>
        <v>43648.208333333328</v>
      </c>
      <c r="R879" t="b">
        <v>0</v>
      </c>
      <c r="S879" t="b">
        <v>0</v>
      </c>
      <c r="T879" t="s">
        <v>122</v>
      </c>
      <c r="U879" t="str">
        <f>+LEFT(Table1[[#This Row],[category &amp; sub-category]],FIND("/",Table1[[#This Row],[category &amp; sub-category]])-1)</f>
        <v>photography</v>
      </c>
      <c r="V879" t="str">
        <f>+RIGHT(Table1[[#This Row],[category &amp; sub-category]],LEN(Table1[[#This Row],[category &amp; sub-category]])-SEARCH("/",Table1[[#This Row],[category &amp; sub-category]]))</f>
        <v>photography books</v>
      </c>
    </row>
    <row r="880" spans="2:22" ht="15.75" customHeight="1" x14ac:dyDescent="0.25">
      <c r="B880">
        <v>877</v>
      </c>
      <c r="C880" t="s">
        <v>1786</v>
      </c>
      <c r="D880" s="3" t="s">
        <v>1787</v>
      </c>
      <c r="E880" s="6">
        <v>163600</v>
      </c>
      <c r="F880" s="6">
        <v>126628</v>
      </c>
      <c r="G880" s="17">
        <f>ROUND(Table1[[#This Row],[pledged]]/Table1[[#This Row],[goal]]*100,2)</f>
        <v>77.400000000000006</v>
      </c>
      <c r="H880" s="5">
        <f>+Table1[[#This Row],[pledged]]/Table1[[#This Row],[goal]]</f>
        <v>0.77400977995110021</v>
      </c>
      <c r="I880" t="s">
        <v>14</v>
      </c>
      <c r="J880">
        <v>1229</v>
      </c>
      <c r="K880" s="8">
        <f>IFERROR(Table1[[#This Row],[pledged]]/Table1[[#This Row],[backers_count]],"NA")</f>
        <v>103.033360455655</v>
      </c>
      <c r="L880" t="s">
        <v>21</v>
      </c>
      <c r="M880" t="s">
        <v>22</v>
      </c>
      <c r="N880">
        <v>1469509200</v>
      </c>
      <c r="O880">
        <v>1469595600</v>
      </c>
      <c r="P880" s="11">
        <f>+(((Table1[[#This Row],[launched_at]]/60)/60)/24)+DATE(1970,1,1)</f>
        <v>42577.208333333328</v>
      </c>
      <c r="Q880" s="11">
        <f>+(((Table1[[#This Row],[deadline]]/60)/60)/24)+DATE(1970,1,1)</f>
        <v>42578.208333333328</v>
      </c>
      <c r="R880" t="b">
        <v>0</v>
      </c>
      <c r="S880" t="b">
        <v>0</v>
      </c>
      <c r="T880" t="s">
        <v>17</v>
      </c>
      <c r="U880" t="str">
        <f>+LEFT(Table1[[#This Row],[category &amp; sub-category]],FIND("/",Table1[[#This Row],[category &amp; sub-category]])-1)</f>
        <v>food</v>
      </c>
      <c r="V880" t="str">
        <f>+RIGHT(Table1[[#This Row],[category &amp; sub-category]],LEN(Table1[[#This Row],[category &amp; sub-category]])-SEARCH("/",Table1[[#This Row],[category &amp; sub-category]]))</f>
        <v>food trucks</v>
      </c>
    </row>
    <row r="881" spans="2:22" ht="15.75" customHeight="1" x14ac:dyDescent="0.25">
      <c r="B881">
        <v>878</v>
      </c>
      <c r="C881" t="s">
        <v>1788</v>
      </c>
      <c r="D881" s="3" t="s">
        <v>1789</v>
      </c>
      <c r="E881" s="6">
        <v>2700</v>
      </c>
      <c r="F881" s="6">
        <v>1012</v>
      </c>
      <c r="G881" s="17">
        <f>ROUND(Table1[[#This Row],[pledged]]/Table1[[#This Row],[goal]]*100,2)</f>
        <v>37.479999999999997</v>
      </c>
      <c r="H881" s="5">
        <f>+Table1[[#This Row],[pledged]]/Table1[[#This Row],[goal]]</f>
        <v>0.37481481481481482</v>
      </c>
      <c r="I881" t="s">
        <v>14</v>
      </c>
      <c r="J881">
        <v>12</v>
      </c>
      <c r="K881" s="8">
        <f>IFERROR(Table1[[#This Row],[pledged]]/Table1[[#This Row],[backers_count]],"NA")</f>
        <v>84.333333333333329</v>
      </c>
      <c r="L881" t="s">
        <v>107</v>
      </c>
      <c r="M881" t="s">
        <v>108</v>
      </c>
      <c r="N881">
        <v>1579068000</v>
      </c>
      <c r="O881">
        <v>1581141600</v>
      </c>
      <c r="P881" s="11">
        <f>+(((Table1[[#This Row],[launched_at]]/60)/60)/24)+DATE(1970,1,1)</f>
        <v>43845.25</v>
      </c>
      <c r="Q881" s="11">
        <f>+(((Table1[[#This Row],[deadline]]/60)/60)/24)+DATE(1970,1,1)</f>
        <v>43869.25</v>
      </c>
      <c r="R881" t="b">
        <v>0</v>
      </c>
      <c r="S881" t="b">
        <v>0</v>
      </c>
      <c r="T881" t="s">
        <v>148</v>
      </c>
      <c r="U881" t="str">
        <f>+LEFT(Table1[[#This Row],[category &amp; sub-category]],FIND("/",Table1[[#This Row],[category &amp; sub-category]])-1)</f>
        <v>music</v>
      </c>
      <c r="V881" t="str">
        <f>+RIGHT(Table1[[#This Row],[category &amp; sub-category]],LEN(Table1[[#This Row],[category &amp; sub-category]])-SEARCH("/",Table1[[#This Row],[category &amp; sub-category]]))</f>
        <v>metal</v>
      </c>
    </row>
    <row r="882" spans="2:22" ht="15.75" customHeight="1" x14ac:dyDescent="0.25">
      <c r="B882">
        <v>879</v>
      </c>
      <c r="C882" t="s">
        <v>1790</v>
      </c>
      <c r="D882" s="3" t="s">
        <v>1791</v>
      </c>
      <c r="E882" s="6">
        <v>1000</v>
      </c>
      <c r="F882" s="6">
        <v>5438</v>
      </c>
      <c r="G882" s="17">
        <f>ROUND(Table1[[#This Row],[pledged]]/Table1[[#This Row],[goal]]*100,2)</f>
        <v>543.79999999999995</v>
      </c>
      <c r="H882" s="5">
        <f>+Table1[[#This Row],[pledged]]/Table1[[#This Row],[goal]]</f>
        <v>5.4379999999999997</v>
      </c>
      <c r="I882" t="s">
        <v>20</v>
      </c>
      <c r="J882">
        <v>53</v>
      </c>
      <c r="K882" s="8">
        <f>IFERROR(Table1[[#This Row],[pledged]]/Table1[[#This Row],[backers_count]],"NA")</f>
        <v>102.60377358490567</v>
      </c>
      <c r="L882" t="s">
        <v>21</v>
      </c>
      <c r="M882" t="s">
        <v>22</v>
      </c>
      <c r="N882">
        <v>1487743200</v>
      </c>
      <c r="O882">
        <v>1488520800</v>
      </c>
      <c r="P882" s="11">
        <f>+(((Table1[[#This Row],[launched_at]]/60)/60)/24)+DATE(1970,1,1)</f>
        <v>42788.25</v>
      </c>
      <c r="Q882" s="11">
        <f>+(((Table1[[#This Row],[deadline]]/60)/60)/24)+DATE(1970,1,1)</f>
        <v>42797.25</v>
      </c>
      <c r="R882" t="b">
        <v>0</v>
      </c>
      <c r="S882" t="b">
        <v>0</v>
      </c>
      <c r="T882" t="s">
        <v>68</v>
      </c>
      <c r="U882" t="str">
        <f>+LEFT(Table1[[#This Row],[category &amp; sub-category]],FIND("/",Table1[[#This Row],[category &amp; sub-category]])-1)</f>
        <v>publishing</v>
      </c>
      <c r="V882" t="str">
        <f>+RIGHT(Table1[[#This Row],[category &amp; sub-category]],LEN(Table1[[#This Row],[category &amp; sub-category]])-SEARCH("/",Table1[[#This Row],[category &amp; sub-category]]))</f>
        <v>nonfiction</v>
      </c>
    </row>
    <row r="883" spans="2:22" ht="15.75" customHeight="1" x14ac:dyDescent="0.25">
      <c r="B883">
        <v>880</v>
      </c>
      <c r="C883" t="s">
        <v>1792</v>
      </c>
      <c r="D883" s="3" t="s">
        <v>1793</v>
      </c>
      <c r="E883" s="6">
        <v>84500</v>
      </c>
      <c r="F883" s="6">
        <v>193101</v>
      </c>
      <c r="G883" s="17">
        <f>ROUND(Table1[[#This Row],[pledged]]/Table1[[#This Row],[goal]]*100,2)</f>
        <v>228.52</v>
      </c>
      <c r="H883" s="5">
        <f>+Table1[[#This Row],[pledged]]/Table1[[#This Row],[goal]]</f>
        <v>2.2852189349112426</v>
      </c>
      <c r="I883" t="s">
        <v>20</v>
      </c>
      <c r="J883">
        <v>2414</v>
      </c>
      <c r="K883" s="8">
        <f>IFERROR(Table1[[#This Row],[pledged]]/Table1[[#This Row],[backers_count]],"NA")</f>
        <v>79.992129246064621</v>
      </c>
      <c r="L883" t="s">
        <v>21</v>
      </c>
      <c r="M883" t="s">
        <v>22</v>
      </c>
      <c r="N883">
        <v>1563685200</v>
      </c>
      <c r="O883">
        <v>1563858000</v>
      </c>
      <c r="P883" s="11">
        <f>+(((Table1[[#This Row],[launched_at]]/60)/60)/24)+DATE(1970,1,1)</f>
        <v>43667.208333333328</v>
      </c>
      <c r="Q883" s="11">
        <f>+(((Table1[[#This Row],[deadline]]/60)/60)/24)+DATE(1970,1,1)</f>
        <v>43669.208333333328</v>
      </c>
      <c r="R883" t="b">
        <v>0</v>
      </c>
      <c r="S883" t="b">
        <v>0</v>
      </c>
      <c r="T883" t="s">
        <v>50</v>
      </c>
      <c r="U883" t="str">
        <f>+LEFT(Table1[[#This Row],[category &amp; sub-category]],FIND("/",Table1[[#This Row],[category &amp; sub-category]])-1)</f>
        <v>music</v>
      </c>
      <c r="V883" t="str">
        <f>+RIGHT(Table1[[#This Row],[category &amp; sub-category]],LEN(Table1[[#This Row],[category &amp; sub-category]])-SEARCH("/",Table1[[#This Row],[category &amp; sub-category]]))</f>
        <v>electric music</v>
      </c>
    </row>
    <row r="884" spans="2:22" ht="15.75" customHeight="1" x14ac:dyDescent="0.25">
      <c r="B884">
        <v>881</v>
      </c>
      <c r="C884" t="s">
        <v>1794</v>
      </c>
      <c r="D884" s="3" t="s">
        <v>1795</v>
      </c>
      <c r="E884" s="6">
        <v>81300</v>
      </c>
      <c r="F884" s="6">
        <v>31665</v>
      </c>
      <c r="G884" s="17">
        <f>ROUND(Table1[[#This Row],[pledged]]/Table1[[#This Row],[goal]]*100,2)</f>
        <v>38.950000000000003</v>
      </c>
      <c r="H884" s="5">
        <f>+Table1[[#This Row],[pledged]]/Table1[[#This Row],[goal]]</f>
        <v>0.38948339483394834</v>
      </c>
      <c r="I884" t="s">
        <v>14</v>
      </c>
      <c r="J884">
        <v>452</v>
      </c>
      <c r="K884" s="8">
        <f>IFERROR(Table1[[#This Row],[pledged]]/Table1[[#This Row],[backers_count]],"NA")</f>
        <v>70.055309734513273</v>
      </c>
      <c r="L884" t="s">
        <v>21</v>
      </c>
      <c r="M884" t="s">
        <v>22</v>
      </c>
      <c r="N884">
        <v>1436418000</v>
      </c>
      <c r="O884">
        <v>1438923600</v>
      </c>
      <c r="P884" s="11">
        <f>+(((Table1[[#This Row],[launched_at]]/60)/60)/24)+DATE(1970,1,1)</f>
        <v>42194.208333333328</v>
      </c>
      <c r="Q884" s="11">
        <f>+(((Table1[[#This Row],[deadline]]/60)/60)/24)+DATE(1970,1,1)</f>
        <v>42223.208333333328</v>
      </c>
      <c r="R884" t="b">
        <v>0</v>
      </c>
      <c r="S884" t="b">
        <v>1</v>
      </c>
      <c r="T884" t="s">
        <v>33</v>
      </c>
      <c r="U884" t="str">
        <f>+LEFT(Table1[[#This Row],[category &amp; sub-category]],FIND("/",Table1[[#This Row],[category &amp; sub-category]])-1)</f>
        <v>theater</v>
      </c>
      <c r="V884" t="str">
        <f>+RIGHT(Table1[[#This Row],[category &amp; sub-category]],LEN(Table1[[#This Row],[category &amp; sub-category]])-SEARCH("/",Table1[[#This Row],[category &amp; sub-category]]))</f>
        <v>plays</v>
      </c>
    </row>
    <row r="885" spans="2:22" ht="15.75" customHeight="1" x14ac:dyDescent="0.25">
      <c r="B885">
        <v>882</v>
      </c>
      <c r="C885" t="s">
        <v>1796</v>
      </c>
      <c r="D885" s="3" t="s">
        <v>1797</v>
      </c>
      <c r="E885" s="6">
        <v>800</v>
      </c>
      <c r="F885" s="6">
        <v>2960</v>
      </c>
      <c r="G885" s="17">
        <f>ROUND(Table1[[#This Row],[pledged]]/Table1[[#This Row],[goal]]*100,2)</f>
        <v>370</v>
      </c>
      <c r="H885" s="5">
        <f>+Table1[[#This Row],[pledged]]/Table1[[#This Row],[goal]]</f>
        <v>3.7</v>
      </c>
      <c r="I885" t="s">
        <v>20</v>
      </c>
      <c r="J885">
        <v>80</v>
      </c>
      <c r="K885" s="8">
        <f>IFERROR(Table1[[#This Row],[pledged]]/Table1[[#This Row],[backers_count]],"NA")</f>
        <v>37</v>
      </c>
      <c r="L885" t="s">
        <v>21</v>
      </c>
      <c r="M885" t="s">
        <v>22</v>
      </c>
      <c r="N885">
        <v>1421820000</v>
      </c>
      <c r="O885">
        <v>1422165600</v>
      </c>
      <c r="P885" s="11">
        <f>+(((Table1[[#This Row],[launched_at]]/60)/60)/24)+DATE(1970,1,1)</f>
        <v>42025.25</v>
      </c>
      <c r="Q885" s="11">
        <f>+(((Table1[[#This Row],[deadline]]/60)/60)/24)+DATE(1970,1,1)</f>
        <v>42029.25</v>
      </c>
      <c r="R885" t="b">
        <v>0</v>
      </c>
      <c r="S885" t="b">
        <v>0</v>
      </c>
      <c r="T885" t="s">
        <v>33</v>
      </c>
      <c r="U885" t="str">
        <f>+LEFT(Table1[[#This Row],[category &amp; sub-category]],FIND("/",Table1[[#This Row],[category &amp; sub-category]])-1)</f>
        <v>theater</v>
      </c>
      <c r="V885" t="str">
        <f>+RIGHT(Table1[[#This Row],[category &amp; sub-category]],LEN(Table1[[#This Row],[category &amp; sub-category]])-SEARCH("/",Table1[[#This Row],[category &amp; sub-category]]))</f>
        <v>plays</v>
      </c>
    </row>
    <row r="886" spans="2:22" ht="15.75" customHeight="1" x14ac:dyDescent="0.25">
      <c r="B886">
        <v>883</v>
      </c>
      <c r="C886" t="s">
        <v>1798</v>
      </c>
      <c r="D886" s="3" t="s">
        <v>1799</v>
      </c>
      <c r="E886" s="6">
        <v>3400</v>
      </c>
      <c r="F886" s="6">
        <v>8089</v>
      </c>
      <c r="G886" s="17">
        <f>ROUND(Table1[[#This Row],[pledged]]/Table1[[#This Row],[goal]]*100,2)</f>
        <v>237.91</v>
      </c>
      <c r="H886" s="5">
        <f>+Table1[[#This Row],[pledged]]/Table1[[#This Row],[goal]]</f>
        <v>2.3791176470588233</v>
      </c>
      <c r="I886" t="s">
        <v>20</v>
      </c>
      <c r="J886">
        <v>193</v>
      </c>
      <c r="K886" s="8">
        <f>IFERROR(Table1[[#This Row],[pledged]]/Table1[[#This Row],[backers_count]],"NA")</f>
        <v>41.911917098445599</v>
      </c>
      <c r="L886" t="s">
        <v>21</v>
      </c>
      <c r="M886" t="s">
        <v>22</v>
      </c>
      <c r="N886">
        <v>1274763600</v>
      </c>
      <c r="O886">
        <v>1277874000</v>
      </c>
      <c r="P886" s="11">
        <f>+(((Table1[[#This Row],[launched_at]]/60)/60)/24)+DATE(1970,1,1)</f>
        <v>40323.208333333336</v>
      </c>
      <c r="Q886" s="11">
        <f>+(((Table1[[#This Row],[deadline]]/60)/60)/24)+DATE(1970,1,1)</f>
        <v>40359.208333333336</v>
      </c>
      <c r="R886" t="b">
        <v>0</v>
      </c>
      <c r="S886" t="b">
        <v>0</v>
      </c>
      <c r="T886" t="s">
        <v>100</v>
      </c>
      <c r="U886" t="str">
        <f>+LEFT(Table1[[#This Row],[category &amp; sub-category]],FIND("/",Table1[[#This Row],[category &amp; sub-category]])-1)</f>
        <v>film &amp; video</v>
      </c>
      <c r="V886" t="str">
        <f>+RIGHT(Table1[[#This Row],[category &amp; sub-category]],LEN(Table1[[#This Row],[category &amp; sub-category]])-SEARCH("/",Table1[[#This Row],[category &amp; sub-category]]))</f>
        <v>shorts</v>
      </c>
    </row>
    <row r="887" spans="2:22" ht="15.75" customHeight="1" x14ac:dyDescent="0.25">
      <c r="B887">
        <v>884</v>
      </c>
      <c r="C887" t="s">
        <v>1800</v>
      </c>
      <c r="D887" s="3" t="s">
        <v>1801</v>
      </c>
      <c r="E887" s="6">
        <v>170800</v>
      </c>
      <c r="F887" s="6">
        <v>109374</v>
      </c>
      <c r="G887" s="17">
        <f>ROUND(Table1[[#This Row],[pledged]]/Table1[[#This Row],[goal]]*100,2)</f>
        <v>64.040000000000006</v>
      </c>
      <c r="H887" s="5">
        <f>+Table1[[#This Row],[pledged]]/Table1[[#This Row],[goal]]</f>
        <v>0.64036299765807958</v>
      </c>
      <c r="I887" t="s">
        <v>14</v>
      </c>
      <c r="J887">
        <v>1886</v>
      </c>
      <c r="K887" s="8">
        <f>IFERROR(Table1[[#This Row],[pledged]]/Table1[[#This Row],[backers_count]],"NA")</f>
        <v>57.992576882290564</v>
      </c>
      <c r="L887" t="s">
        <v>21</v>
      </c>
      <c r="M887" t="s">
        <v>22</v>
      </c>
      <c r="N887">
        <v>1399179600</v>
      </c>
      <c r="O887">
        <v>1399352400</v>
      </c>
      <c r="P887" s="11">
        <f>+(((Table1[[#This Row],[launched_at]]/60)/60)/24)+DATE(1970,1,1)</f>
        <v>41763.208333333336</v>
      </c>
      <c r="Q887" s="11">
        <f>+(((Table1[[#This Row],[deadline]]/60)/60)/24)+DATE(1970,1,1)</f>
        <v>41765.208333333336</v>
      </c>
      <c r="R887" t="b">
        <v>0</v>
      </c>
      <c r="S887" t="b">
        <v>1</v>
      </c>
      <c r="T887" t="s">
        <v>33</v>
      </c>
      <c r="U887" t="str">
        <f>+LEFT(Table1[[#This Row],[category &amp; sub-category]],FIND("/",Table1[[#This Row],[category &amp; sub-category]])-1)</f>
        <v>theater</v>
      </c>
      <c r="V887" t="str">
        <f>+RIGHT(Table1[[#This Row],[category &amp; sub-category]],LEN(Table1[[#This Row],[category &amp; sub-category]])-SEARCH("/",Table1[[#This Row],[category &amp; sub-category]]))</f>
        <v>plays</v>
      </c>
    </row>
    <row r="888" spans="2:22" ht="15.75" customHeight="1" x14ac:dyDescent="0.25">
      <c r="B888">
        <v>885</v>
      </c>
      <c r="C888" t="s">
        <v>1802</v>
      </c>
      <c r="D888" s="3" t="s">
        <v>1803</v>
      </c>
      <c r="E888" s="6">
        <v>1800</v>
      </c>
      <c r="F888" s="6">
        <v>2129</v>
      </c>
      <c r="G888" s="17">
        <f>ROUND(Table1[[#This Row],[pledged]]/Table1[[#This Row],[goal]]*100,2)</f>
        <v>118.28</v>
      </c>
      <c r="H888" s="5">
        <f>+Table1[[#This Row],[pledged]]/Table1[[#This Row],[goal]]</f>
        <v>1.1827777777777777</v>
      </c>
      <c r="I888" t="s">
        <v>20</v>
      </c>
      <c r="J888">
        <v>52</v>
      </c>
      <c r="K888" s="8">
        <f>IFERROR(Table1[[#This Row],[pledged]]/Table1[[#This Row],[backers_count]],"NA")</f>
        <v>40.942307692307693</v>
      </c>
      <c r="L888" t="s">
        <v>21</v>
      </c>
      <c r="M888" t="s">
        <v>22</v>
      </c>
      <c r="N888">
        <v>1275800400</v>
      </c>
      <c r="O888">
        <v>1279083600</v>
      </c>
      <c r="P888" s="11">
        <f>+(((Table1[[#This Row],[launched_at]]/60)/60)/24)+DATE(1970,1,1)</f>
        <v>40335.208333333336</v>
      </c>
      <c r="Q888" s="11">
        <f>+(((Table1[[#This Row],[deadline]]/60)/60)/24)+DATE(1970,1,1)</f>
        <v>40373.208333333336</v>
      </c>
      <c r="R888" t="b">
        <v>0</v>
      </c>
      <c r="S888" t="b">
        <v>0</v>
      </c>
      <c r="T888" t="s">
        <v>33</v>
      </c>
      <c r="U888" t="str">
        <f>+LEFT(Table1[[#This Row],[category &amp; sub-category]],FIND("/",Table1[[#This Row],[category &amp; sub-category]])-1)</f>
        <v>theater</v>
      </c>
      <c r="V888" t="str">
        <f>+RIGHT(Table1[[#This Row],[category &amp; sub-category]],LEN(Table1[[#This Row],[category &amp; sub-category]])-SEARCH("/",Table1[[#This Row],[category &amp; sub-category]]))</f>
        <v>plays</v>
      </c>
    </row>
    <row r="889" spans="2:22" ht="15.75" customHeight="1" x14ac:dyDescent="0.25">
      <c r="B889">
        <v>886</v>
      </c>
      <c r="C889" t="s">
        <v>1804</v>
      </c>
      <c r="D889" s="3" t="s">
        <v>1805</v>
      </c>
      <c r="E889" s="6">
        <v>150600</v>
      </c>
      <c r="F889" s="6">
        <v>127745</v>
      </c>
      <c r="G889" s="17">
        <f>ROUND(Table1[[#This Row],[pledged]]/Table1[[#This Row],[goal]]*100,2)</f>
        <v>84.82</v>
      </c>
      <c r="H889" s="5">
        <f>+Table1[[#This Row],[pledged]]/Table1[[#This Row],[goal]]</f>
        <v>0.84824037184594958</v>
      </c>
      <c r="I889" t="s">
        <v>14</v>
      </c>
      <c r="J889">
        <v>1825</v>
      </c>
      <c r="K889" s="8">
        <f>IFERROR(Table1[[#This Row],[pledged]]/Table1[[#This Row],[backers_count]],"NA")</f>
        <v>69.9972602739726</v>
      </c>
      <c r="L889" t="s">
        <v>21</v>
      </c>
      <c r="M889" t="s">
        <v>22</v>
      </c>
      <c r="N889">
        <v>1282798800</v>
      </c>
      <c r="O889">
        <v>1284354000</v>
      </c>
      <c r="P889" s="11">
        <f>+(((Table1[[#This Row],[launched_at]]/60)/60)/24)+DATE(1970,1,1)</f>
        <v>40416.208333333336</v>
      </c>
      <c r="Q889" s="11">
        <f>+(((Table1[[#This Row],[deadline]]/60)/60)/24)+DATE(1970,1,1)</f>
        <v>40434.208333333336</v>
      </c>
      <c r="R889" t="b">
        <v>0</v>
      </c>
      <c r="S889" t="b">
        <v>0</v>
      </c>
      <c r="T889" t="s">
        <v>60</v>
      </c>
      <c r="U889" t="str">
        <f>+LEFT(Table1[[#This Row],[category &amp; sub-category]],FIND("/",Table1[[#This Row],[category &amp; sub-category]])-1)</f>
        <v>music</v>
      </c>
      <c r="V889" t="str">
        <f>+RIGHT(Table1[[#This Row],[category &amp; sub-category]],LEN(Table1[[#This Row],[category &amp; sub-category]])-SEARCH("/",Table1[[#This Row],[category &amp; sub-category]]))</f>
        <v>indie rock</v>
      </c>
    </row>
    <row r="890" spans="2:22" ht="15.75" customHeight="1" x14ac:dyDescent="0.25">
      <c r="B890">
        <v>887</v>
      </c>
      <c r="C890" t="s">
        <v>1806</v>
      </c>
      <c r="D890" s="3" t="s">
        <v>1807</v>
      </c>
      <c r="E890" s="6">
        <v>7800</v>
      </c>
      <c r="F890" s="6">
        <v>2289</v>
      </c>
      <c r="G890" s="17">
        <f>ROUND(Table1[[#This Row],[pledged]]/Table1[[#This Row],[goal]]*100,2)</f>
        <v>29.35</v>
      </c>
      <c r="H890" s="5">
        <f>+Table1[[#This Row],[pledged]]/Table1[[#This Row],[goal]]</f>
        <v>0.29346153846153844</v>
      </c>
      <c r="I890" t="s">
        <v>14</v>
      </c>
      <c r="J890">
        <v>31</v>
      </c>
      <c r="K890" s="8">
        <f>IFERROR(Table1[[#This Row],[pledged]]/Table1[[#This Row],[backers_count]],"NA")</f>
        <v>73.838709677419359</v>
      </c>
      <c r="L890" t="s">
        <v>21</v>
      </c>
      <c r="M890" t="s">
        <v>22</v>
      </c>
      <c r="N890">
        <v>1437109200</v>
      </c>
      <c r="O890">
        <v>1441170000</v>
      </c>
      <c r="P890" s="11">
        <f>+(((Table1[[#This Row],[launched_at]]/60)/60)/24)+DATE(1970,1,1)</f>
        <v>42202.208333333328</v>
      </c>
      <c r="Q890" s="11">
        <f>+(((Table1[[#This Row],[deadline]]/60)/60)/24)+DATE(1970,1,1)</f>
        <v>42249.208333333328</v>
      </c>
      <c r="R890" t="b">
        <v>0</v>
      </c>
      <c r="S890" t="b">
        <v>1</v>
      </c>
      <c r="T890" t="s">
        <v>33</v>
      </c>
      <c r="U890" t="str">
        <f>+LEFT(Table1[[#This Row],[category &amp; sub-category]],FIND("/",Table1[[#This Row],[category &amp; sub-category]])-1)</f>
        <v>theater</v>
      </c>
      <c r="V890" t="str">
        <f>+RIGHT(Table1[[#This Row],[category &amp; sub-category]],LEN(Table1[[#This Row],[category &amp; sub-category]])-SEARCH("/",Table1[[#This Row],[category &amp; sub-category]]))</f>
        <v>plays</v>
      </c>
    </row>
    <row r="891" spans="2:22" ht="15.75" customHeight="1" x14ac:dyDescent="0.25">
      <c r="B891">
        <v>888</v>
      </c>
      <c r="C891" t="s">
        <v>1808</v>
      </c>
      <c r="D891" s="3" t="s">
        <v>1809</v>
      </c>
      <c r="E891" s="6">
        <v>5800</v>
      </c>
      <c r="F891" s="6">
        <v>12174</v>
      </c>
      <c r="G891" s="17">
        <f>ROUND(Table1[[#This Row],[pledged]]/Table1[[#This Row],[goal]]*100,2)</f>
        <v>209.9</v>
      </c>
      <c r="H891" s="5">
        <f>+Table1[[#This Row],[pledged]]/Table1[[#This Row],[goal]]</f>
        <v>2.0989655172413793</v>
      </c>
      <c r="I891" t="s">
        <v>20</v>
      </c>
      <c r="J891">
        <v>290</v>
      </c>
      <c r="K891" s="8">
        <f>IFERROR(Table1[[#This Row],[pledged]]/Table1[[#This Row],[backers_count]],"NA")</f>
        <v>41.979310344827589</v>
      </c>
      <c r="L891" t="s">
        <v>21</v>
      </c>
      <c r="M891" t="s">
        <v>22</v>
      </c>
      <c r="N891">
        <v>1491886800</v>
      </c>
      <c r="O891">
        <v>1493528400</v>
      </c>
      <c r="P891" s="11">
        <f>+(((Table1[[#This Row],[launched_at]]/60)/60)/24)+DATE(1970,1,1)</f>
        <v>42836.208333333328</v>
      </c>
      <c r="Q891" s="11">
        <f>+(((Table1[[#This Row],[deadline]]/60)/60)/24)+DATE(1970,1,1)</f>
        <v>42855.208333333328</v>
      </c>
      <c r="R891" t="b">
        <v>0</v>
      </c>
      <c r="S891" t="b">
        <v>0</v>
      </c>
      <c r="T891" t="s">
        <v>33</v>
      </c>
      <c r="U891" t="str">
        <f>+LEFT(Table1[[#This Row],[category &amp; sub-category]],FIND("/",Table1[[#This Row],[category &amp; sub-category]])-1)</f>
        <v>theater</v>
      </c>
      <c r="V891" t="str">
        <f>+RIGHT(Table1[[#This Row],[category &amp; sub-category]],LEN(Table1[[#This Row],[category &amp; sub-category]])-SEARCH("/",Table1[[#This Row],[category &amp; sub-category]]))</f>
        <v>plays</v>
      </c>
    </row>
    <row r="892" spans="2:22" ht="15.75" customHeight="1" x14ac:dyDescent="0.25">
      <c r="B892">
        <v>889</v>
      </c>
      <c r="C892" t="s">
        <v>1810</v>
      </c>
      <c r="D892" s="3" t="s">
        <v>1811</v>
      </c>
      <c r="E892" s="6">
        <v>5600</v>
      </c>
      <c r="F892" s="6">
        <v>9508</v>
      </c>
      <c r="G892" s="17">
        <f>ROUND(Table1[[#This Row],[pledged]]/Table1[[#This Row],[goal]]*100,2)</f>
        <v>169.79</v>
      </c>
      <c r="H892" s="5">
        <f>+Table1[[#This Row],[pledged]]/Table1[[#This Row],[goal]]</f>
        <v>1.697857142857143</v>
      </c>
      <c r="I892" t="s">
        <v>20</v>
      </c>
      <c r="J892">
        <v>122</v>
      </c>
      <c r="K892" s="8">
        <f>IFERROR(Table1[[#This Row],[pledged]]/Table1[[#This Row],[backers_count]],"NA")</f>
        <v>77.93442622950819</v>
      </c>
      <c r="L892" t="s">
        <v>21</v>
      </c>
      <c r="M892" t="s">
        <v>22</v>
      </c>
      <c r="N892">
        <v>1394600400</v>
      </c>
      <c r="O892">
        <v>1395205200</v>
      </c>
      <c r="P892" s="11">
        <f>+(((Table1[[#This Row],[launched_at]]/60)/60)/24)+DATE(1970,1,1)</f>
        <v>41710.208333333336</v>
      </c>
      <c r="Q892" s="11">
        <f>+(((Table1[[#This Row],[deadline]]/60)/60)/24)+DATE(1970,1,1)</f>
        <v>41717.208333333336</v>
      </c>
      <c r="R892" t="b">
        <v>0</v>
      </c>
      <c r="S892" t="b">
        <v>1</v>
      </c>
      <c r="T892" t="s">
        <v>50</v>
      </c>
      <c r="U892" t="str">
        <f>+LEFT(Table1[[#This Row],[category &amp; sub-category]],FIND("/",Table1[[#This Row],[category &amp; sub-category]])-1)</f>
        <v>music</v>
      </c>
      <c r="V892" t="str">
        <f>+RIGHT(Table1[[#This Row],[category &amp; sub-category]],LEN(Table1[[#This Row],[category &amp; sub-category]])-SEARCH("/",Table1[[#This Row],[category &amp; sub-category]]))</f>
        <v>electric music</v>
      </c>
    </row>
    <row r="893" spans="2:22" ht="15.75" customHeight="1" x14ac:dyDescent="0.25">
      <c r="B893">
        <v>890</v>
      </c>
      <c r="C893" t="s">
        <v>1812</v>
      </c>
      <c r="D893" s="3" t="s">
        <v>1813</v>
      </c>
      <c r="E893" s="6">
        <v>134400</v>
      </c>
      <c r="F893" s="6">
        <v>155849</v>
      </c>
      <c r="G893" s="17">
        <f>ROUND(Table1[[#This Row],[pledged]]/Table1[[#This Row],[goal]]*100,2)</f>
        <v>115.96</v>
      </c>
      <c r="H893" s="5">
        <f>+Table1[[#This Row],[pledged]]/Table1[[#This Row],[goal]]</f>
        <v>1.1595907738095239</v>
      </c>
      <c r="I893" t="s">
        <v>20</v>
      </c>
      <c r="J893">
        <v>1470</v>
      </c>
      <c r="K893" s="8">
        <f>IFERROR(Table1[[#This Row],[pledged]]/Table1[[#This Row],[backers_count]],"NA")</f>
        <v>106.01972789115646</v>
      </c>
      <c r="L893" t="s">
        <v>21</v>
      </c>
      <c r="M893" t="s">
        <v>22</v>
      </c>
      <c r="N893">
        <v>1561352400</v>
      </c>
      <c r="O893">
        <v>1561438800</v>
      </c>
      <c r="P893" s="11">
        <f>+(((Table1[[#This Row],[launched_at]]/60)/60)/24)+DATE(1970,1,1)</f>
        <v>43640.208333333328</v>
      </c>
      <c r="Q893" s="11">
        <f>+(((Table1[[#This Row],[deadline]]/60)/60)/24)+DATE(1970,1,1)</f>
        <v>43641.208333333328</v>
      </c>
      <c r="R893" t="b">
        <v>0</v>
      </c>
      <c r="S893" t="b">
        <v>0</v>
      </c>
      <c r="T893" t="s">
        <v>60</v>
      </c>
      <c r="U893" t="str">
        <f>+LEFT(Table1[[#This Row],[category &amp; sub-category]],FIND("/",Table1[[#This Row],[category &amp; sub-category]])-1)</f>
        <v>music</v>
      </c>
      <c r="V893" t="str">
        <f>+RIGHT(Table1[[#This Row],[category &amp; sub-category]],LEN(Table1[[#This Row],[category &amp; sub-category]])-SEARCH("/",Table1[[#This Row],[category &amp; sub-category]]))</f>
        <v>indie rock</v>
      </c>
    </row>
    <row r="894" spans="2:22" ht="15.75" customHeight="1" x14ac:dyDescent="0.25">
      <c r="B894">
        <v>891</v>
      </c>
      <c r="C894" t="s">
        <v>1814</v>
      </c>
      <c r="D894" s="3" t="s">
        <v>1815</v>
      </c>
      <c r="E894" s="6">
        <v>3000</v>
      </c>
      <c r="F894" s="6">
        <v>7758</v>
      </c>
      <c r="G894" s="17">
        <f>ROUND(Table1[[#This Row],[pledged]]/Table1[[#This Row],[goal]]*100,2)</f>
        <v>258.60000000000002</v>
      </c>
      <c r="H894" s="5">
        <f>+Table1[[#This Row],[pledged]]/Table1[[#This Row],[goal]]</f>
        <v>2.5859999999999999</v>
      </c>
      <c r="I894" t="s">
        <v>20</v>
      </c>
      <c r="J894">
        <v>165</v>
      </c>
      <c r="K894" s="8">
        <f>IFERROR(Table1[[#This Row],[pledged]]/Table1[[#This Row],[backers_count]],"NA")</f>
        <v>47.018181818181816</v>
      </c>
      <c r="L894" t="s">
        <v>15</v>
      </c>
      <c r="M894" t="s">
        <v>16</v>
      </c>
      <c r="N894">
        <v>1322892000</v>
      </c>
      <c r="O894">
        <v>1326693600</v>
      </c>
      <c r="P894" s="11">
        <f>+(((Table1[[#This Row],[launched_at]]/60)/60)/24)+DATE(1970,1,1)</f>
        <v>40880.25</v>
      </c>
      <c r="Q894" s="11">
        <f>+(((Table1[[#This Row],[deadline]]/60)/60)/24)+DATE(1970,1,1)</f>
        <v>40924.25</v>
      </c>
      <c r="R894" t="b">
        <v>0</v>
      </c>
      <c r="S894" t="b">
        <v>0</v>
      </c>
      <c r="T894" t="s">
        <v>42</v>
      </c>
      <c r="U894" t="str">
        <f>+LEFT(Table1[[#This Row],[category &amp; sub-category]],FIND("/",Table1[[#This Row],[category &amp; sub-category]])-1)</f>
        <v>film &amp; video</v>
      </c>
      <c r="V894" t="str">
        <f>+RIGHT(Table1[[#This Row],[category &amp; sub-category]],LEN(Table1[[#This Row],[category &amp; sub-category]])-SEARCH("/",Table1[[#This Row],[category &amp; sub-category]]))</f>
        <v>documentary</v>
      </c>
    </row>
    <row r="895" spans="2:22" ht="15.75" customHeight="1" x14ac:dyDescent="0.25">
      <c r="B895">
        <v>892</v>
      </c>
      <c r="C895" t="s">
        <v>1816</v>
      </c>
      <c r="D895" s="3" t="s">
        <v>1817</v>
      </c>
      <c r="E895" s="6">
        <v>6000</v>
      </c>
      <c r="F895" s="6">
        <v>13835</v>
      </c>
      <c r="G895" s="17">
        <f>ROUND(Table1[[#This Row],[pledged]]/Table1[[#This Row],[goal]]*100,2)</f>
        <v>230.58</v>
      </c>
      <c r="H895" s="5">
        <f>+Table1[[#This Row],[pledged]]/Table1[[#This Row],[goal]]</f>
        <v>2.3058333333333332</v>
      </c>
      <c r="I895" t="s">
        <v>20</v>
      </c>
      <c r="J895">
        <v>182</v>
      </c>
      <c r="K895" s="8">
        <f>IFERROR(Table1[[#This Row],[pledged]]/Table1[[#This Row],[backers_count]],"NA")</f>
        <v>76.016483516483518</v>
      </c>
      <c r="L895" t="s">
        <v>21</v>
      </c>
      <c r="M895" t="s">
        <v>22</v>
      </c>
      <c r="N895">
        <v>1274418000</v>
      </c>
      <c r="O895">
        <v>1277960400</v>
      </c>
      <c r="P895" s="11">
        <f>+(((Table1[[#This Row],[launched_at]]/60)/60)/24)+DATE(1970,1,1)</f>
        <v>40319.208333333336</v>
      </c>
      <c r="Q895" s="11">
        <f>+(((Table1[[#This Row],[deadline]]/60)/60)/24)+DATE(1970,1,1)</f>
        <v>40360.208333333336</v>
      </c>
      <c r="R895" t="b">
        <v>0</v>
      </c>
      <c r="S895" t="b">
        <v>0</v>
      </c>
      <c r="T895" t="s">
        <v>206</v>
      </c>
      <c r="U895" t="str">
        <f>+LEFT(Table1[[#This Row],[category &amp; sub-category]],FIND("/",Table1[[#This Row],[category &amp; sub-category]])-1)</f>
        <v>publishing</v>
      </c>
      <c r="V895" t="str">
        <f>+RIGHT(Table1[[#This Row],[category &amp; sub-category]],LEN(Table1[[#This Row],[category &amp; sub-category]])-SEARCH("/",Table1[[#This Row],[category &amp; sub-category]]))</f>
        <v>translations</v>
      </c>
    </row>
    <row r="896" spans="2:22" ht="15.75" customHeight="1" x14ac:dyDescent="0.25">
      <c r="B896">
        <v>893</v>
      </c>
      <c r="C896" t="s">
        <v>1818</v>
      </c>
      <c r="D896" s="3" t="s">
        <v>1819</v>
      </c>
      <c r="E896" s="6">
        <v>8400</v>
      </c>
      <c r="F896" s="6">
        <v>10770</v>
      </c>
      <c r="G896" s="17">
        <f>ROUND(Table1[[#This Row],[pledged]]/Table1[[#This Row],[goal]]*100,2)</f>
        <v>128.21</v>
      </c>
      <c r="H896" s="5">
        <f>+Table1[[#This Row],[pledged]]/Table1[[#This Row],[goal]]</f>
        <v>1.2821428571428573</v>
      </c>
      <c r="I896" t="s">
        <v>20</v>
      </c>
      <c r="J896">
        <v>199</v>
      </c>
      <c r="K896" s="8">
        <f>IFERROR(Table1[[#This Row],[pledged]]/Table1[[#This Row],[backers_count]],"NA")</f>
        <v>54.120603015075375</v>
      </c>
      <c r="L896" t="s">
        <v>107</v>
      </c>
      <c r="M896" t="s">
        <v>108</v>
      </c>
      <c r="N896">
        <v>1434344400</v>
      </c>
      <c r="O896">
        <v>1434690000</v>
      </c>
      <c r="P896" s="11">
        <f>+(((Table1[[#This Row],[launched_at]]/60)/60)/24)+DATE(1970,1,1)</f>
        <v>42170.208333333328</v>
      </c>
      <c r="Q896" s="11">
        <f>+(((Table1[[#This Row],[deadline]]/60)/60)/24)+DATE(1970,1,1)</f>
        <v>42174.208333333328</v>
      </c>
      <c r="R896" t="b">
        <v>0</v>
      </c>
      <c r="S896" t="b">
        <v>1</v>
      </c>
      <c r="T896" t="s">
        <v>42</v>
      </c>
      <c r="U896" t="str">
        <f>+LEFT(Table1[[#This Row],[category &amp; sub-category]],FIND("/",Table1[[#This Row],[category &amp; sub-category]])-1)</f>
        <v>film &amp; video</v>
      </c>
      <c r="V896" t="str">
        <f>+RIGHT(Table1[[#This Row],[category &amp; sub-category]],LEN(Table1[[#This Row],[category &amp; sub-category]])-SEARCH("/",Table1[[#This Row],[category &amp; sub-category]]))</f>
        <v>documentary</v>
      </c>
    </row>
    <row r="897" spans="2:22" ht="15.75" customHeight="1" x14ac:dyDescent="0.25">
      <c r="B897">
        <v>894</v>
      </c>
      <c r="C897" t="s">
        <v>1820</v>
      </c>
      <c r="D897" s="3" t="s">
        <v>1821</v>
      </c>
      <c r="E897" s="6">
        <v>1700</v>
      </c>
      <c r="F897" s="6">
        <v>3208</v>
      </c>
      <c r="G897" s="17">
        <f>ROUND(Table1[[#This Row],[pledged]]/Table1[[#This Row],[goal]]*100,2)</f>
        <v>188.71</v>
      </c>
      <c r="H897" s="5">
        <f>+Table1[[#This Row],[pledged]]/Table1[[#This Row],[goal]]</f>
        <v>1.8870588235294117</v>
      </c>
      <c r="I897" t="s">
        <v>20</v>
      </c>
      <c r="J897">
        <v>56</v>
      </c>
      <c r="K897" s="8">
        <f>IFERROR(Table1[[#This Row],[pledged]]/Table1[[#This Row],[backers_count]],"NA")</f>
        <v>57.285714285714285</v>
      </c>
      <c r="L897" t="s">
        <v>40</v>
      </c>
      <c r="M897" t="s">
        <v>41</v>
      </c>
      <c r="N897">
        <v>1373518800</v>
      </c>
      <c r="O897">
        <v>1376110800</v>
      </c>
      <c r="P897" s="11">
        <f>+(((Table1[[#This Row],[launched_at]]/60)/60)/24)+DATE(1970,1,1)</f>
        <v>41466.208333333336</v>
      </c>
      <c r="Q897" s="11">
        <f>+(((Table1[[#This Row],[deadline]]/60)/60)/24)+DATE(1970,1,1)</f>
        <v>41496.208333333336</v>
      </c>
      <c r="R897" t="b">
        <v>0</v>
      </c>
      <c r="S897" t="b">
        <v>1</v>
      </c>
      <c r="T897" t="s">
        <v>269</v>
      </c>
      <c r="U897" t="str">
        <f>+LEFT(Table1[[#This Row],[category &amp; sub-category]],FIND("/",Table1[[#This Row],[category &amp; sub-category]])-1)</f>
        <v>film &amp; video</v>
      </c>
      <c r="V897" t="str">
        <f>+RIGHT(Table1[[#This Row],[category &amp; sub-category]],LEN(Table1[[#This Row],[category &amp; sub-category]])-SEARCH("/",Table1[[#This Row],[category &amp; sub-category]]))</f>
        <v>television</v>
      </c>
    </row>
    <row r="898" spans="2:22" ht="15.75" customHeight="1" x14ac:dyDescent="0.25">
      <c r="B898">
        <v>895</v>
      </c>
      <c r="C898" t="s">
        <v>1822</v>
      </c>
      <c r="D898" s="3" t="s">
        <v>1823</v>
      </c>
      <c r="E898" s="6">
        <v>159800</v>
      </c>
      <c r="F898" s="6">
        <v>11108</v>
      </c>
      <c r="G898" s="17">
        <f>ROUND(Table1[[#This Row],[pledged]]/Table1[[#This Row],[goal]]*100,2)</f>
        <v>6.95</v>
      </c>
      <c r="H898" s="5">
        <f>+Table1[[#This Row],[pledged]]/Table1[[#This Row],[goal]]</f>
        <v>6.9511889862327911E-2</v>
      </c>
      <c r="I898" t="s">
        <v>14</v>
      </c>
      <c r="J898">
        <v>107</v>
      </c>
      <c r="K898" s="8">
        <f>IFERROR(Table1[[#This Row],[pledged]]/Table1[[#This Row],[backers_count]],"NA")</f>
        <v>103.81308411214954</v>
      </c>
      <c r="L898" t="s">
        <v>21</v>
      </c>
      <c r="M898" t="s">
        <v>22</v>
      </c>
      <c r="N898">
        <v>1517637600</v>
      </c>
      <c r="O898">
        <v>1518415200</v>
      </c>
      <c r="P898" s="11">
        <f>+(((Table1[[#This Row],[launched_at]]/60)/60)/24)+DATE(1970,1,1)</f>
        <v>43134.25</v>
      </c>
      <c r="Q898" s="11">
        <f>+(((Table1[[#This Row],[deadline]]/60)/60)/24)+DATE(1970,1,1)</f>
        <v>43143.25</v>
      </c>
      <c r="R898" t="b">
        <v>0</v>
      </c>
      <c r="S898" t="b">
        <v>0</v>
      </c>
      <c r="T898" t="s">
        <v>33</v>
      </c>
      <c r="U898" t="str">
        <f>+LEFT(Table1[[#This Row],[category &amp; sub-category]],FIND("/",Table1[[#This Row],[category &amp; sub-category]])-1)</f>
        <v>theater</v>
      </c>
      <c r="V898" t="str">
        <f>+RIGHT(Table1[[#This Row],[category &amp; sub-category]],LEN(Table1[[#This Row],[category &amp; sub-category]])-SEARCH("/",Table1[[#This Row],[category &amp; sub-category]]))</f>
        <v>plays</v>
      </c>
    </row>
    <row r="899" spans="2:22" ht="15.75" customHeight="1" x14ac:dyDescent="0.25">
      <c r="B899">
        <v>896</v>
      </c>
      <c r="C899" t="s">
        <v>1824</v>
      </c>
      <c r="D899" s="3" t="s">
        <v>1825</v>
      </c>
      <c r="E899" s="6">
        <v>19800</v>
      </c>
      <c r="F899" s="6">
        <v>153338</v>
      </c>
      <c r="G899" s="17">
        <f>ROUND(Table1[[#This Row],[pledged]]/Table1[[#This Row],[goal]]*100,2)</f>
        <v>774.43</v>
      </c>
      <c r="H899" s="5">
        <f>+Table1[[#This Row],[pledged]]/Table1[[#This Row],[goal]]</f>
        <v>7.7443434343434348</v>
      </c>
      <c r="I899" t="s">
        <v>20</v>
      </c>
      <c r="J899">
        <v>1460</v>
      </c>
      <c r="K899" s="8">
        <f>IFERROR(Table1[[#This Row],[pledged]]/Table1[[#This Row],[backers_count]],"NA")</f>
        <v>105.02602739726028</v>
      </c>
      <c r="L899" t="s">
        <v>26</v>
      </c>
      <c r="M899" t="s">
        <v>27</v>
      </c>
      <c r="N899">
        <v>1310619600</v>
      </c>
      <c r="O899">
        <v>1310878800</v>
      </c>
      <c r="P899" s="11">
        <f>+(((Table1[[#This Row],[launched_at]]/60)/60)/24)+DATE(1970,1,1)</f>
        <v>40738.208333333336</v>
      </c>
      <c r="Q899" s="11">
        <f>+(((Table1[[#This Row],[deadline]]/60)/60)/24)+DATE(1970,1,1)</f>
        <v>40741.208333333336</v>
      </c>
      <c r="R899" t="b">
        <v>0</v>
      </c>
      <c r="S899" t="b">
        <v>1</v>
      </c>
      <c r="T899" t="s">
        <v>17</v>
      </c>
      <c r="U899" t="str">
        <f>+LEFT(Table1[[#This Row],[category &amp; sub-category]],FIND("/",Table1[[#This Row],[category &amp; sub-category]])-1)</f>
        <v>food</v>
      </c>
      <c r="V899" t="str">
        <f>+RIGHT(Table1[[#This Row],[category &amp; sub-category]],LEN(Table1[[#This Row],[category &amp; sub-category]])-SEARCH("/",Table1[[#This Row],[category &amp; sub-category]]))</f>
        <v>food trucks</v>
      </c>
    </row>
    <row r="900" spans="2:22" ht="15.75" customHeight="1" x14ac:dyDescent="0.25">
      <c r="B900">
        <v>897</v>
      </c>
      <c r="C900" t="s">
        <v>1826</v>
      </c>
      <c r="D900" s="3" t="s">
        <v>1827</v>
      </c>
      <c r="E900" s="6">
        <v>8800</v>
      </c>
      <c r="F900" s="6">
        <v>2437</v>
      </c>
      <c r="G900" s="17">
        <f>ROUND(Table1[[#This Row],[pledged]]/Table1[[#This Row],[goal]]*100,2)</f>
        <v>27.69</v>
      </c>
      <c r="H900" s="5">
        <f>+Table1[[#This Row],[pledged]]/Table1[[#This Row],[goal]]</f>
        <v>0.27693181818181817</v>
      </c>
      <c r="I900" t="s">
        <v>14</v>
      </c>
      <c r="J900">
        <v>27</v>
      </c>
      <c r="K900" s="8">
        <f>IFERROR(Table1[[#This Row],[pledged]]/Table1[[#This Row],[backers_count]],"NA")</f>
        <v>90.259259259259252</v>
      </c>
      <c r="L900" t="s">
        <v>21</v>
      </c>
      <c r="M900" t="s">
        <v>22</v>
      </c>
      <c r="N900">
        <v>1556427600</v>
      </c>
      <c r="O900">
        <v>1556600400</v>
      </c>
      <c r="P900" s="11">
        <f>+(((Table1[[#This Row],[launched_at]]/60)/60)/24)+DATE(1970,1,1)</f>
        <v>43583.208333333328</v>
      </c>
      <c r="Q900" s="11">
        <f>+(((Table1[[#This Row],[deadline]]/60)/60)/24)+DATE(1970,1,1)</f>
        <v>43585.208333333328</v>
      </c>
      <c r="R900" t="b">
        <v>0</v>
      </c>
      <c r="S900" t="b">
        <v>0</v>
      </c>
      <c r="T900" t="s">
        <v>33</v>
      </c>
      <c r="U900" t="str">
        <f>+LEFT(Table1[[#This Row],[category &amp; sub-category]],FIND("/",Table1[[#This Row],[category &amp; sub-category]])-1)</f>
        <v>theater</v>
      </c>
      <c r="V900" t="str">
        <f>+RIGHT(Table1[[#This Row],[category &amp; sub-category]],LEN(Table1[[#This Row],[category &amp; sub-category]])-SEARCH("/",Table1[[#This Row],[category &amp; sub-category]]))</f>
        <v>plays</v>
      </c>
    </row>
    <row r="901" spans="2:22" ht="15.75" customHeight="1" x14ac:dyDescent="0.25">
      <c r="B901">
        <v>898</v>
      </c>
      <c r="C901" t="s">
        <v>1828</v>
      </c>
      <c r="D901" s="3" t="s">
        <v>1829</v>
      </c>
      <c r="E901" s="6">
        <v>179100</v>
      </c>
      <c r="F901" s="6">
        <v>93991</v>
      </c>
      <c r="G901" s="17">
        <f>ROUND(Table1[[#This Row],[pledged]]/Table1[[#This Row],[goal]]*100,2)</f>
        <v>52.48</v>
      </c>
      <c r="H901" s="5">
        <f>+Table1[[#This Row],[pledged]]/Table1[[#This Row],[goal]]</f>
        <v>0.52479620323841425</v>
      </c>
      <c r="I901" t="s">
        <v>14</v>
      </c>
      <c r="J901">
        <v>1221</v>
      </c>
      <c r="K901" s="8">
        <f>IFERROR(Table1[[#This Row],[pledged]]/Table1[[#This Row],[backers_count]],"NA")</f>
        <v>76.978705978705975</v>
      </c>
      <c r="L901" t="s">
        <v>21</v>
      </c>
      <c r="M901" t="s">
        <v>22</v>
      </c>
      <c r="N901">
        <v>1576476000</v>
      </c>
      <c r="O901">
        <v>1576994400</v>
      </c>
      <c r="P901" s="11">
        <f>+(((Table1[[#This Row],[launched_at]]/60)/60)/24)+DATE(1970,1,1)</f>
        <v>43815.25</v>
      </c>
      <c r="Q901" s="11">
        <f>+(((Table1[[#This Row],[deadline]]/60)/60)/24)+DATE(1970,1,1)</f>
        <v>43821.25</v>
      </c>
      <c r="R901" t="b">
        <v>0</v>
      </c>
      <c r="S901" t="b">
        <v>0</v>
      </c>
      <c r="T901" t="s">
        <v>42</v>
      </c>
      <c r="U901" t="str">
        <f>+LEFT(Table1[[#This Row],[category &amp; sub-category]],FIND("/",Table1[[#This Row],[category &amp; sub-category]])-1)</f>
        <v>film &amp; video</v>
      </c>
      <c r="V901" t="str">
        <f>+RIGHT(Table1[[#This Row],[category &amp; sub-category]],LEN(Table1[[#This Row],[category &amp; sub-category]])-SEARCH("/",Table1[[#This Row],[category &amp; sub-category]]))</f>
        <v>documentary</v>
      </c>
    </row>
    <row r="902" spans="2:22" ht="15.75" customHeight="1" x14ac:dyDescent="0.25">
      <c r="B902">
        <v>899</v>
      </c>
      <c r="C902" t="s">
        <v>1830</v>
      </c>
      <c r="D902" s="3" t="s">
        <v>1831</v>
      </c>
      <c r="E902" s="6">
        <v>3100</v>
      </c>
      <c r="F902" s="6">
        <v>12620</v>
      </c>
      <c r="G902" s="17">
        <f>ROUND(Table1[[#This Row],[pledged]]/Table1[[#This Row],[goal]]*100,2)</f>
        <v>407.1</v>
      </c>
      <c r="H902" s="5">
        <f>+Table1[[#This Row],[pledged]]/Table1[[#This Row],[goal]]</f>
        <v>4.0709677419354842</v>
      </c>
      <c r="I902" t="s">
        <v>20</v>
      </c>
      <c r="J902">
        <v>123</v>
      </c>
      <c r="K902" s="8">
        <f>IFERROR(Table1[[#This Row],[pledged]]/Table1[[#This Row],[backers_count]],"NA")</f>
        <v>102.60162601626017</v>
      </c>
      <c r="L902" t="s">
        <v>98</v>
      </c>
      <c r="M902" t="s">
        <v>99</v>
      </c>
      <c r="N902">
        <v>1381122000</v>
      </c>
      <c r="O902">
        <v>1382677200</v>
      </c>
      <c r="P902" s="11">
        <f>+(((Table1[[#This Row],[launched_at]]/60)/60)/24)+DATE(1970,1,1)</f>
        <v>41554.208333333336</v>
      </c>
      <c r="Q902" s="11">
        <f>+(((Table1[[#This Row],[deadline]]/60)/60)/24)+DATE(1970,1,1)</f>
        <v>41572.208333333336</v>
      </c>
      <c r="R902" t="b">
        <v>0</v>
      </c>
      <c r="S902" t="b">
        <v>0</v>
      </c>
      <c r="T902" t="s">
        <v>159</v>
      </c>
      <c r="U902" t="str">
        <f>+LEFT(Table1[[#This Row],[category &amp; sub-category]],FIND("/",Table1[[#This Row],[category &amp; sub-category]])-1)</f>
        <v>music</v>
      </c>
      <c r="V902" t="str">
        <f>+RIGHT(Table1[[#This Row],[category &amp; sub-category]],LEN(Table1[[#This Row],[category &amp; sub-category]])-SEARCH("/",Table1[[#This Row],[category &amp; sub-category]]))</f>
        <v>jazz</v>
      </c>
    </row>
    <row r="903" spans="2:22" ht="15.75" customHeight="1" x14ac:dyDescent="0.25">
      <c r="B903">
        <v>900</v>
      </c>
      <c r="C903" t="s">
        <v>1832</v>
      </c>
      <c r="D903" s="3" t="s">
        <v>1833</v>
      </c>
      <c r="E903" s="6">
        <v>100</v>
      </c>
      <c r="F903" s="6">
        <v>2</v>
      </c>
      <c r="G903" s="17">
        <f>ROUND(Table1[[#This Row],[pledged]]/Table1[[#This Row],[goal]]*100,2)</f>
        <v>2</v>
      </c>
      <c r="H903" s="5">
        <f>+Table1[[#This Row],[pledged]]/Table1[[#This Row],[goal]]</f>
        <v>0.02</v>
      </c>
      <c r="I903" t="s">
        <v>14</v>
      </c>
      <c r="J903">
        <v>1</v>
      </c>
      <c r="K903" s="8">
        <f>IFERROR(Table1[[#This Row],[pledged]]/Table1[[#This Row],[backers_count]],"NA")</f>
        <v>2</v>
      </c>
      <c r="L903" t="s">
        <v>21</v>
      </c>
      <c r="M903" t="s">
        <v>22</v>
      </c>
      <c r="N903">
        <v>1411102800</v>
      </c>
      <c r="O903">
        <v>1411189200</v>
      </c>
      <c r="P903" s="11">
        <f>+(((Table1[[#This Row],[launched_at]]/60)/60)/24)+DATE(1970,1,1)</f>
        <v>41901.208333333336</v>
      </c>
      <c r="Q903" s="11">
        <f>+(((Table1[[#This Row],[deadline]]/60)/60)/24)+DATE(1970,1,1)</f>
        <v>41902.208333333336</v>
      </c>
      <c r="R903" t="b">
        <v>0</v>
      </c>
      <c r="S903" t="b">
        <v>1</v>
      </c>
      <c r="T903" t="s">
        <v>28</v>
      </c>
      <c r="U903" t="str">
        <f>+LEFT(Table1[[#This Row],[category &amp; sub-category]],FIND("/",Table1[[#This Row],[category &amp; sub-category]])-1)</f>
        <v>technology</v>
      </c>
      <c r="V903" t="str">
        <f>+RIGHT(Table1[[#This Row],[category &amp; sub-category]],LEN(Table1[[#This Row],[category &amp; sub-category]])-SEARCH("/",Table1[[#This Row],[category &amp; sub-category]]))</f>
        <v>web</v>
      </c>
    </row>
    <row r="904" spans="2:22" ht="15.75" customHeight="1" x14ac:dyDescent="0.25">
      <c r="B904">
        <v>901</v>
      </c>
      <c r="C904" t="s">
        <v>1834</v>
      </c>
      <c r="D904" s="3" t="s">
        <v>1835</v>
      </c>
      <c r="E904" s="6">
        <v>5600</v>
      </c>
      <c r="F904" s="6">
        <v>8746</v>
      </c>
      <c r="G904" s="17">
        <f>ROUND(Table1[[#This Row],[pledged]]/Table1[[#This Row],[goal]]*100,2)</f>
        <v>156.18</v>
      </c>
      <c r="H904" s="5">
        <f>+Table1[[#This Row],[pledged]]/Table1[[#This Row],[goal]]</f>
        <v>1.5617857142857143</v>
      </c>
      <c r="I904" t="s">
        <v>20</v>
      </c>
      <c r="J904">
        <v>159</v>
      </c>
      <c r="K904" s="8">
        <f>IFERROR(Table1[[#This Row],[pledged]]/Table1[[#This Row],[backers_count]],"NA")</f>
        <v>55.0062893081761</v>
      </c>
      <c r="L904" t="s">
        <v>21</v>
      </c>
      <c r="M904" t="s">
        <v>22</v>
      </c>
      <c r="N904">
        <v>1531803600</v>
      </c>
      <c r="O904">
        <v>1534654800</v>
      </c>
      <c r="P904" s="11">
        <f>+(((Table1[[#This Row],[launched_at]]/60)/60)/24)+DATE(1970,1,1)</f>
        <v>43298.208333333328</v>
      </c>
      <c r="Q904" s="11">
        <f>+(((Table1[[#This Row],[deadline]]/60)/60)/24)+DATE(1970,1,1)</f>
        <v>43331.208333333328</v>
      </c>
      <c r="R904" t="b">
        <v>0</v>
      </c>
      <c r="S904" t="b">
        <v>1</v>
      </c>
      <c r="T904" t="s">
        <v>23</v>
      </c>
      <c r="U904" t="str">
        <f>+LEFT(Table1[[#This Row],[category &amp; sub-category]],FIND("/",Table1[[#This Row],[category &amp; sub-category]])-1)</f>
        <v>music</v>
      </c>
      <c r="V904" t="str">
        <f>+RIGHT(Table1[[#This Row],[category &amp; sub-category]],LEN(Table1[[#This Row],[category &amp; sub-category]])-SEARCH("/",Table1[[#This Row],[category &amp; sub-category]]))</f>
        <v>rock</v>
      </c>
    </row>
    <row r="905" spans="2:22" ht="15.75" customHeight="1" x14ac:dyDescent="0.25">
      <c r="B905">
        <v>902</v>
      </c>
      <c r="C905" t="s">
        <v>1836</v>
      </c>
      <c r="D905" s="3" t="s">
        <v>1837</v>
      </c>
      <c r="E905" s="6">
        <v>1400</v>
      </c>
      <c r="F905" s="6">
        <v>3534</v>
      </c>
      <c r="G905" s="17">
        <f>ROUND(Table1[[#This Row],[pledged]]/Table1[[#This Row],[goal]]*100,2)</f>
        <v>252.43</v>
      </c>
      <c r="H905" s="5">
        <f>+Table1[[#This Row],[pledged]]/Table1[[#This Row],[goal]]</f>
        <v>2.5242857142857145</v>
      </c>
      <c r="I905" t="s">
        <v>20</v>
      </c>
      <c r="J905">
        <v>110</v>
      </c>
      <c r="K905" s="8">
        <f>IFERROR(Table1[[#This Row],[pledged]]/Table1[[#This Row],[backers_count]],"NA")</f>
        <v>32.127272727272725</v>
      </c>
      <c r="L905" t="s">
        <v>21</v>
      </c>
      <c r="M905" t="s">
        <v>22</v>
      </c>
      <c r="N905">
        <v>1454133600</v>
      </c>
      <c r="O905">
        <v>1457762400</v>
      </c>
      <c r="P905" s="11">
        <f>+(((Table1[[#This Row],[launched_at]]/60)/60)/24)+DATE(1970,1,1)</f>
        <v>42399.25</v>
      </c>
      <c r="Q905" s="11">
        <f>+(((Table1[[#This Row],[deadline]]/60)/60)/24)+DATE(1970,1,1)</f>
        <v>42441.25</v>
      </c>
      <c r="R905" t="b">
        <v>0</v>
      </c>
      <c r="S905" t="b">
        <v>0</v>
      </c>
      <c r="T905" t="s">
        <v>28</v>
      </c>
      <c r="U905" t="str">
        <f>+LEFT(Table1[[#This Row],[category &amp; sub-category]],FIND("/",Table1[[#This Row],[category &amp; sub-category]])-1)</f>
        <v>technology</v>
      </c>
      <c r="V905" t="str">
        <f>+RIGHT(Table1[[#This Row],[category &amp; sub-category]],LEN(Table1[[#This Row],[category &amp; sub-category]])-SEARCH("/",Table1[[#This Row],[category &amp; sub-category]]))</f>
        <v>web</v>
      </c>
    </row>
    <row r="906" spans="2:22" ht="15.75" customHeight="1" x14ac:dyDescent="0.25">
      <c r="B906">
        <v>903</v>
      </c>
      <c r="C906" t="s">
        <v>1838</v>
      </c>
      <c r="D906" s="3" t="s">
        <v>1839</v>
      </c>
      <c r="E906" s="6">
        <v>41000</v>
      </c>
      <c r="F906" s="6">
        <v>709</v>
      </c>
      <c r="G906" s="17">
        <f>ROUND(Table1[[#This Row],[pledged]]/Table1[[#This Row],[goal]]*100,2)</f>
        <v>1.73</v>
      </c>
      <c r="H906" s="5">
        <f>+Table1[[#This Row],[pledged]]/Table1[[#This Row],[goal]]</f>
        <v>1.729268292682927E-2</v>
      </c>
      <c r="I906" t="s">
        <v>47</v>
      </c>
      <c r="J906">
        <v>14</v>
      </c>
      <c r="K906" s="8">
        <f>IFERROR(Table1[[#This Row],[pledged]]/Table1[[#This Row],[backers_count]],"NA")</f>
        <v>50.642857142857146</v>
      </c>
      <c r="L906" t="s">
        <v>21</v>
      </c>
      <c r="M906" t="s">
        <v>22</v>
      </c>
      <c r="N906">
        <v>1336194000</v>
      </c>
      <c r="O906">
        <v>1337490000</v>
      </c>
      <c r="P906" s="11">
        <f>+(((Table1[[#This Row],[launched_at]]/60)/60)/24)+DATE(1970,1,1)</f>
        <v>41034.208333333336</v>
      </c>
      <c r="Q906" s="11">
        <f>+(((Table1[[#This Row],[deadline]]/60)/60)/24)+DATE(1970,1,1)</f>
        <v>41049.208333333336</v>
      </c>
      <c r="R906" t="b">
        <v>0</v>
      </c>
      <c r="S906" t="b">
        <v>1</v>
      </c>
      <c r="T906" t="s">
        <v>68</v>
      </c>
      <c r="U906" t="str">
        <f>+LEFT(Table1[[#This Row],[category &amp; sub-category]],FIND("/",Table1[[#This Row],[category &amp; sub-category]])-1)</f>
        <v>publishing</v>
      </c>
      <c r="V906" t="str">
        <f>+RIGHT(Table1[[#This Row],[category &amp; sub-category]],LEN(Table1[[#This Row],[category &amp; sub-category]])-SEARCH("/",Table1[[#This Row],[category &amp; sub-category]]))</f>
        <v>nonfiction</v>
      </c>
    </row>
    <row r="907" spans="2:22" ht="15.75" customHeight="1" x14ac:dyDescent="0.25">
      <c r="B907">
        <v>904</v>
      </c>
      <c r="C907" t="s">
        <v>1840</v>
      </c>
      <c r="D907" s="3" t="s">
        <v>1841</v>
      </c>
      <c r="E907" s="6">
        <v>6500</v>
      </c>
      <c r="F907" s="6">
        <v>795</v>
      </c>
      <c r="G907" s="17">
        <f>ROUND(Table1[[#This Row],[pledged]]/Table1[[#This Row],[goal]]*100,2)</f>
        <v>12.23</v>
      </c>
      <c r="H907" s="5">
        <f>+Table1[[#This Row],[pledged]]/Table1[[#This Row],[goal]]</f>
        <v>0.12230769230769231</v>
      </c>
      <c r="I907" t="s">
        <v>14</v>
      </c>
      <c r="J907">
        <v>16</v>
      </c>
      <c r="K907" s="8">
        <f>IFERROR(Table1[[#This Row],[pledged]]/Table1[[#This Row],[backers_count]],"NA")</f>
        <v>49.6875</v>
      </c>
      <c r="L907" t="s">
        <v>21</v>
      </c>
      <c r="M907" t="s">
        <v>22</v>
      </c>
      <c r="N907">
        <v>1349326800</v>
      </c>
      <c r="O907">
        <v>1349672400</v>
      </c>
      <c r="P907" s="11">
        <f>+(((Table1[[#This Row],[launched_at]]/60)/60)/24)+DATE(1970,1,1)</f>
        <v>41186.208333333336</v>
      </c>
      <c r="Q907" s="11">
        <f>+(((Table1[[#This Row],[deadline]]/60)/60)/24)+DATE(1970,1,1)</f>
        <v>41190.208333333336</v>
      </c>
      <c r="R907" t="b">
        <v>0</v>
      </c>
      <c r="S907" t="b">
        <v>0</v>
      </c>
      <c r="T907" t="s">
        <v>133</v>
      </c>
      <c r="U907" t="str">
        <f>+LEFT(Table1[[#This Row],[category &amp; sub-category]],FIND("/",Table1[[#This Row],[category &amp; sub-category]])-1)</f>
        <v>publishing</v>
      </c>
      <c r="V907" t="str">
        <f>+RIGHT(Table1[[#This Row],[category &amp; sub-category]],LEN(Table1[[#This Row],[category &amp; sub-category]])-SEARCH("/",Table1[[#This Row],[category &amp; sub-category]]))</f>
        <v>radio &amp; podcasts</v>
      </c>
    </row>
    <row r="908" spans="2:22" ht="15.75" customHeight="1" x14ac:dyDescent="0.25">
      <c r="B908">
        <v>905</v>
      </c>
      <c r="C908" t="s">
        <v>1842</v>
      </c>
      <c r="D908" s="3" t="s">
        <v>1843</v>
      </c>
      <c r="E908" s="6">
        <v>7900</v>
      </c>
      <c r="F908" s="6">
        <v>12955</v>
      </c>
      <c r="G908" s="17">
        <f>ROUND(Table1[[#This Row],[pledged]]/Table1[[#This Row],[goal]]*100,2)</f>
        <v>163.99</v>
      </c>
      <c r="H908" s="5">
        <f>+Table1[[#This Row],[pledged]]/Table1[[#This Row],[goal]]</f>
        <v>1.6398734177215191</v>
      </c>
      <c r="I908" t="s">
        <v>20</v>
      </c>
      <c r="J908">
        <v>236</v>
      </c>
      <c r="K908" s="8">
        <f>IFERROR(Table1[[#This Row],[pledged]]/Table1[[#This Row],[backers_count]],"NA")</f>
        <v>54.894067796610166</v>
      </c>
      <c r="L908" t="s">
        <v>21</v>
      </c>
      <c r="M908" t="s">
        <v>22</v>
      </c>
      <c r="N908">
        <v>1379566800</v>
      </c>
      <c r="O908">
        <v>1379826000</v>
      </c>
      <c r="P908" s="11">
        <f>+(((Table1[[#This Row],[launched_at]]/60)/60)/24)+DATE(1970,1,1)</f>
        <v>41536.208333333336</v>
      </c>
      <c r="Q908" s="11">
        <f>+(((Table1[[#This Row],[deadline]]/60)/60)/24)+DATE(1970,1,1)</f>
        <v>41539.208333333336</v>
      </c>
      <c r="R908" t="b">
        <v>0</v>
      </c>
      <c r="S908" t="b">
        <v>0</v>
      </c>
      <c r="T908" t="s">
        <v>33</v>
      </c>
      <c r="U908" t="str">
        <f>+LEFT(Table1[[#This Row],[category &amp; sub-category]],FIND("/",Table1[[#This Row],[category &amp; sub-category]])-1)</f>
        <v>theater</v>
      </c>
      <c r="V908" t="str">
        <f>+RIGHT(Table1[[#This Row],[category &amp; sub-category]],LEN(Table1[[#This Row],[category &amp; sub-category]])-SEARCH("/",Table1[[#This Row],[category &amp; sub-category]]))</f>
        <v>plays</v>
      </c>
    </row>
    <row r="909" spans="2:22" ht="15.75" customHeight="1" x14ac:dyDescent="0.25">
      <c r="B909">
        <v>906</v>
      </c>
      <c r="C909" t="s">
        <v>1844</v>
      </c>
      <c r="D909" s="3" t="s">
        <v>1845</v>
      </c>
      <c r="E909" s="6">
        <v>5500</v>
      </c>
      <c r="F909" s="6">
        <v>8964</v>
      </c>
      <c r="G909" s="17">
        <f>ROUND(Table1[[#This Row],[pledged]]/Table1[[#This Row],[goal]]*100,2)</f>
        <v>162.97999999999999</v>
      </c>
      <c r="H909" s="5">
        <f>+Table1[[#This Row],[pledged]]/Table1[[#This Row],[goal]]</f>
        <v>1.6298181818181818</v>
      </c>
      <c r="I909" t="s">
        <v>20</v>
      </c>
      <c r="J909">
        <v>191</v>
      </c>
      <c r="K909" s="8">
        <f>IFERROR(Table1[[#This Row],[pledged]]/Table1[[#This Row],[backers_count]],"NA")</f>
        <v>46.931937172774866</v>
      </c>
      <c r="L909" t="s">
        <v>21</v>
      </c>
      <c r="M909" t="s">
        <v>22</v>
      </c>
      <c r="N909">
        <v>1494651600</v>
      </c>
      <c r="O909">
        <v>1497762000</v>
      </c>
      <c r="P909" s="11">
        <f>+(((Table1[[#This Row],[launched_at]]/60)/60)/24)+DATE(1970,1,1)</f>
        <v>42868.208333333328</v>
      </c>
      <c r="Q909" s="11">
        <f>+(((Table1[[#This Row],[deadline]]/60)/60)/24)+DATE(1970,1,1)</f>
        <v>42904.208333333328</v>
      </c>
      <c r="R909" t="b">
        <v>1</v>
      </c>
      <c r="S909" t="b">
        <v>1</v>
      </c>
      <c r="T909" t="s">
        <v>42</v>
      </c>
      <c r="U909" t="str">
        <f>+LEFT(Table1[[#This Row],[category &amp; sub-category]],FIND("/",Table1[[#This Row],[category &amp; sub-category]])-1)</f>
        <v>film &amp; video</v>
      </c>
      <c r="V909" t="str">
        <f>+RIGHT(Table1[[#This Row],[category &amp; sub-category]],LEN(Table1[[#This Row],[category &amp; sub-category]])-SEARCH("/",Table1[[#This Row],[category &amp; sub-category]]))</f>
        <v>documentary</v>
      </c>
    </row>
    <row r="910" spans="2:22" ht="15.75" customHeight="1" x14ac:dyDescent="0.25">
      <c r="B910">
        <v>907</v>
      </c>
      <c r="C910" t="s">
        <v>1846</v>
      </c>
      <c r="D910" s="3" t="s">
        <v>1847</v>
      </c>
      <c r="E910" s="6">
        <v>9100</v>
      </c>
      <c r="F910" s="6">
        <v>1843</v>
      </c>
      <c r="G910" s="17">
        <f>ROUND(Table1[[#This Row],[pledged]]/Table1[[#This Row],[goal]]*100,2)</f>
        <v>20.25</v>
      </c>
      <c r="H910" s="5">
        <f>+Table1[[#This Row],[pledged]]/Table1[[#This Row],[goal]]</f>
        <v>0.20252747252747252</v>
      </c>
      <c r="I910" t="s">
        <v>14</v>
      </c>
      <c r="J910">
        <v>41</v>
      </c>
      <c r="K910" s="8">
        <f>IFERROR(Table1[[#This Row],[pledged]]/Table1[[#This Row],[backers_count]],"NA")</f>
        <v>44.951219512195124</v>
      </c>
      <c r="L910" t="s">
        <v>21</v>
      </c>
      <c r="M910" t="s">
        <v>22</v>
      </c>
      <c r="N910">
        <v>1303880400</v>
      </c>
      <c r="O910">
        <v>1304485200</v>
      </c>
      <c r="P910" s="11">
        <f>+(((Table1[[#This Row],[launched_at]]/60)/60)/24)+DATE(1970,1,1)</f>
        <v>40660.208333333336</v>
      </c>
      <c r="Q910" s="11">
        <f>+(((Table1[[#This Row],[deadline]]/60)/60)/24)+DATE(1970,1,1)</f>
        <v>40667.208333333336</v>
      </c>
      <c r="R910" t="b">
        <v>0</v>
      </c>
      <c r="S910" t="b">
        <v>0</v>
      </c>
      <c r="T910" t="s">
        <v>33</v>
      </c>
      <c r="U910" t="str">
        <f>+LEFT(Table1[[#This Row],[category &amp; sub-category]],FIND("/",Table1[[#This Row],[category &amp; sub-category]])-1)</f>
        <v>theater</v>
      </c>
      <c r="V910" t="str">
        <f>+RIGHT(Table1[[#This Row],[category &amp; sub-category]],LEN(Table1[[#This Row],[category &amp; sub-category]])-SEARCH("/",Table1[[#This Row],[category &amp; sub-category]]))</f>
        <v>plays</v>
      </c>
    </row>
    <row r="911" spans="2:22" ht="15.75" customHeight="1" x14ac:dyDescent="0.25">
      <c r="B911">
        <v>908</v>
      </c>
      <c r="C911" t="s">
        <v>1848</v>
      </c>
      <c r="D911" s="3" t="s">
        <v>1849</v>
      </c>
      <c r="E911" s="6">
        <v>38200</v>
      </c>
      <c r="F911" s="6">
        <v>121950</v>
      </c>
      <c r="G911" s="17">
        <f>ROUND(Table1[[#This Row],[pledged]]/Table1[[#This Row],[goal]]*100,2)</f>
        <v>319.24</v>
      </c>
      <c r="H911" s="5">
        <f>+Table1[[#This Row],[pledged]]/Table1[[#This Row],[goal]]</f>
        <v>3.1924083769633507</v>
      </c>
      <c r="I911" t="s">
        <v>20</v>
      </c>
      <c r="J911">
        <v>3934</v>
      </c>
      <c r="K911" s="8">
        <f>IFERROR(Table1[[#This Row],[pledged]]/Table1[[#This Row],[backers_count]],"NA")</f>
        <v>30.99898322318251</v>
      </c>
      <c r="L911" t="s">
        <v>21</v>
      </c>
      <c r="M911" t="s">
        <v>22</v>
      </c>
      <c r="N911">
        <v>1335934800</v>
      </c>
      <c r="O911">
        <v>1336885200</v>
      </c>
      <c r="P911" s="11">
        <f>+(((Table1[[#This Row],[launched_at]]/60)/60)/24)+DATE(1970,1,1)</f>
        <v>41031.208333333336</v>
      </c>
      <c r="Q911" s="11">
        <f>+(((Table1[[#This Row],[deadline]]/60)/60)/24)+DATE(1970,1,1)</f>
        <v>41042.208333333336</v>
      </c>
      <c r="R911" t="b">
        <v>0</v>
      </c>
      <c r="S911" t="b">
        <v>0</v>
      </c>
      <c r="T911" t="s">
        <v>89</v>
      </c>
      <c r="U911" t="str">
        <f>+LEFT(Table1[[#This Row],[category &amp; sub-category]],FIND("/",Table1[[#This Row],[category &amp; sub-category]])-1)</f>
        <v>games</v>
      </c>
      <c r="V911" t="str">
        <f>+RIGHT(Table1[[#This Row],[category &amp; sub-category]],LEN(Table1[[#This Row],[category &amp; sub-category]])-SEARCH("/",Table1[[#This Row],[category &amp; sub-category]]))</f>
        <v>video games</v>
      </c>
    </row>
    <row r="912" spans="2:22" ht="15.75" customHeight="1" x14ac:dyDescent="0.25">
      <c r="B912">
        <v>909</v>
      </c>
      <c r="C912" t="s">
        <v>1850</v>
      </c>
      <c r="D912" s="3" t="s">
        <v>1851</v>
      </c>
      <c r="E912" s="6">
        <v>1800</v>
      </c>
      <c r="F912" s="6">
        <v>8621</v>
      </c>
      <c r="G912" s="17">
        <f>ROUND(Table1[[#This Row],[pledged]]/Table1[[#This Row],[goal]]*100,2)</f>
        <v>478.94</v>
      </c>
      <c r="H912" s="5">
        <f>+Table1[[#This Row],[pledged]]/Table1[[#This Row],[goal]]</f>
        <v>4.7894444444444444</v>
      </c>
      <c r="I912" t="s">
        <v>20</v>
      </c>
      <c r="J912">
        <v>80</v>
      </c>
      <c r="K912" s="8">
        <f>IFERROR(Table1[[#This Row],[pledged]]/Table1[[#This Row],[backers_count]],"NA")</f>
        <v>107.7625</v>
      </c>
      <c r="L912" t="s">
        <v>15</v>
      </c>
      <c r="M912" t="s">
        <v>16</v>
      </c>
      <c r="N912">
        <v>1528088400</v>
      </c>
      <c r="O912">
        <v>1530421200</v>
      </c>
      <c r="P912" s="11">
        <f>+(((Table1[[#This Row],[launched_at]]/60)/60)/24)+DATE(1970,1,1)</f>
        <v>43255.208333333328</v>
      </c>
      <c r="Q912" s="11">
        <f>+(((Table1[[#This Row],[deadline]]/60)/60)/24)+DATE(1970,1,1)</f>
        <v>43282.208333333328</v>
      </c>
      <c r="R912" t="b">
        <v>0</v>
      </c>
      <c r="S912" t="b">
        <v>1</v>
      </c>
      <c r="T912" t="s">
        <v>33</v>
      </c>
      <c r="U912" t="str">
        <f>+LEFT(Table1[[#This Row],[category &amp; sub-category]],FIND("/",Table1[[#This Row],[category &amp; sub-category]])-1)</f>
        <v>theater</v>
      </c>
      <c r="V912" t="str">
        <f>+RIGHT(Table1[[#This Row],[category &amp; sub-category]],LEN(Table1[[#This Row],[category &amp; sub-category]])-SEARCH("/",Table1[[#This Row],[category &amp; sub-category]]))</f>
        <v>plays</v>
      </c>
    </row>
    <row r="913" spans="2:22" ht="15.75" customHeight="1" x14ac:dyDescent="0.25">
      <c r="B913">
        <v>910</v>
      </c>
      <c r="C913" t="s">
        <v>1852</v>
      </c>
      <c r="D913" s="3" t="s">
        <v>1853</v>
      </c>
      <c r="E913" s="6">
        <v>154500</v>
      </c>
      <c r="F913" s="6">
        <v>30215</v>
      </c>
      <c r="G913" s="17">
        <f>ROUND(Table1[[#This Row],[pledged]]/Table1[[#This Row],[goal]]*100,2)</f>
        <v>19.559999999999999</v>
      </c>
      <c r="H913" s="5">
        <f>+Table1[[#This Row],[pledged]]/Table1[[#This Row],[goal]]</f>
        <v>0.19556634304207121</v>
      </c>
      <c r="I913" t="s">
        <v>74</v>
      </c>
      <c r="J913">
        <v>296</v>
      </c>
      <c r="K913" s="8">
        <f>IFERROR(Table1[[#This Row],[pledged]]/Table1[[#This Row],[backers_count]],"NA")</f>
        <v>102.07770270270271</v>
      </c>
      <c r="L913" t="s">
        <v>21</v>
      </c>
      <c r="M913" t="s">
        <v>22</v>
      </c>
      <c r="N913">
        <v>1421906400</v>
      </c>
      <c r="O913">
        <v>1421992800</v>
      </c>
      <c r="P913" s="11">
        <f>+(((Table1[[#This Row],[launched_at]]/60)/60)/24)+DATE(1970,1,1)</f>
        <v>42026.25</v>
      </c>
      <c r="Q913" s="11">
        <f>+(((Table1[[#This Row],[deadline]]/60)/60)/24)+DATE(1970,1,1)</f>
        <v>42027.25</v>
      </c>
      <c r="R913" t="b">
        <v>0</v>
      </c>
      <c r="S913" t="b">
        <v>0</v>
      </c>
      <c r="T913" t="s">
        <v>33</v>
      </c>
      <c r="U913" t="str">
        <f>+LEFT(Table1[[#This Row],[category &amp; sub-category]],FIND("/",Table1[[#This Row],[category &amp; sub-category]])-1)</f>
        <v>theater</v>
      </c>
      <c r="V913" t="str">
        <f>+RIGHT(Table1[[#This Row],[category &amp; sub-category]],LEN(Table1[[#This Row],[category &amp; sub-category]])-SEARCH("/",Table1[[#This Row],[category &amp; sub-category]]))</f>
        <v>plays</v>
      </c>
    </row>
    <row r="914" spans="2:22" ht="15.75" customHeight="1" x14ac:dyDescent="0.25">
      <c r="B914">
        <v>911</v>
      </c>
      <c r="C914" t="s">
        <v>1854</v>
      </c>
      <c r="D914" s="3" t="s">
        <v>1855</v>
      </c>
      <c r="E914" s="6">
        <v>5800</v>
      </c>
      <c r="F914" s="6">
        <v>11539</v>
      </c>
      <c r="G914" s="17">
        <f>ROUND(Table1[[#This Row],[pledged]]/Table1[[#This Row],[goal]]*100,2)</f>
        <v>198.95</v>
      </c>
      <c r="H914" s="5">
        <f>+Table1[[#This Row],[pledged]]/Table1[[#This Row],[goal]]</f>
        <v>1.9894827586206896</v>
      </c>
      <c r="I914" t="s">
        <v>20</v>
      </c>
      <c r="J914">
        <v>462</v>
      </c>
      <c r="K914" s="8">
        <f>IFERROR(Table1[[#This Row],[pledged]]/Table1[[#This Row],[backers_count]],"NA")</f>
        <v>24.976190476190474</v>
      </c>
      <c r="L914" t="s">
        <v>21</v>
      </c>
      <c r="M914" t="s">
        <v>22</v>
      </c>
      <c r="N914">
        <v>1568005200</v>
      </c>
      <c r="O914">
        <v>1568178000</v>
      </c>
      <c r="P914" s="11">
        <f>+(((Table1[[#This Row],[launched_at]]/60)/60)/24)+DATE(1970,1,1)</f>
        <v>43717.208333333328</v>
      </c>
      <c r="Q914" s="11">
        <f>+(((Table1[[#This Row],[deadline]]/60)/60)/24)+DATE(1970,1,1)</f>
        <v>43719.208333333328</v>
      </c>
      <c r="R914" t="b">
        <v>1</v>
      </c>
      <c r="S914" t="b">
        <v>0</v>
      </c>
      <c r="T914" t="s">
        <v>28</v>
      </c>
      <c r="U914" t="str">
        <f>+LEFT(Table1[[#This Row],[category &amp; sub-category]],FIND("/",Table1[[#This Row],[category &amp; sub-category]])-1)</f>
        <v>technology</v>
      </c>
      <c r="V914" t="str">
        <f>+RIGHT(Table1[[#This Row],[category &amp; sub-category]],LEN(Table1[[#This Row],[category &amp; sub-category]])-SEARCH("/",Table1[[#This Row],[category &amp; sub-category]]))</f>
        <v>web</v>
      </c>
    </row>
    <row r="915" spans="2:22" ht="15.75" customHeight="1" x14ac:dyDescent="0.25">
      <c r="B915">
        <v>912</v>
      </c>
      <c r="C915" t="s">
        <v>1856</v>
      </c>
      <c r="D915" s="3" t="s">
        <v>1857</v>
      </c>
      <c r="E915" s="6">
        <v>1800</v>
      </c>
      <c r="F915" s="6">
        <v>14310</v>
      </c>
      <c r="G915" s="17">
        <f>ROUND(Table1[[#This Row],[pledged]]/Table1[[#This Row],[goal]]*100,2)</f>
        <v>795</v>
      </c>
      <c r="H915" s="5">
        <f>+Table1[[#This Row],[pledged]]/Table1[[#This Row],[goal]]</f>
        <v>7.95</v>
      </c>
      <c r="I915" t="s">
        <v>20</v>
      </c>
      <c r="J915">
        <v>179</v>
      </c>
      <c r="K915" s="8">
        <f>IFERROR(Table1[[#This Row],[pledged]]/Table1[[#This Row],[backers_count]],"NA")</f>
        <v>79.944134078212286</v>
      </c>
      <c r="L915" t="s">
        <v>21</v>
      </c>
      <c r="M915" t="s">
        <v>22</v>
      </c>
      <c r="N915">
        <v>1346821200</v>
      </c>
      <c r="O915">
        <v>1347944400</v>
      </c>
      <c r="P915" s="11">
        <f>+(((Table1[[#This Row],[launched_at]]/60)/60)/24)+DATE(1970,1,1)</f>
        <v>41157.208333333336</v>
      </c>
      <c r="Q915" s="11">
        <f>+(((Table1[[#This Row],[deadline]]/60)/60)/24)+DATE(1970,1,1)</f>
        <v>41170.208333333336</v>
      </c>
      <c r="R915" t="b">
        <v>1</v>
      </c>
      <c r="S915" t="b">
        <v>0</v>
      </c>
      <c r="T915" t="s">
        <v>53</v>
      </c>
      <c r="U915" t="str">
        <f>+LEFT(Table1[[#This Row],[category &amp; sub-category]],FIND("/",Table1[[#This Row],[category &amp; sub-category]])-1)</f>
        <v>film &amp; video</v>
      </c>
      <c r="V915" t="str">
        <f>+RIGHT(Table1[[#This Row],[category &amp; sub-category]],LEN(Table1[[#This Row],[category &amp; sub-category]])-SEARCH("/",Table1[[#This Row],[category &amp; sub-category]]))</f>
        <v>drama</v>
      </c>
    </row>
    <row r="916" spans="2:22" ht="15.75" customHeight="1" x14ac:dyDescent="0.25">
      <c r="B916">
        <v>913</v>
      </c>
      <c r="C916" t="s">
        <v>1858</v>
      </c>
      <c r="D916" s="3" t="s">
        <v>1859</v>
      </c>
      <c r="E916" s="6">
        <v>70200</v>
      </c>
      <c r="F916" s="6">
        <v>35536</v>
      </c>
      <c r="G916" s="17">
        <f>ROUND(Table1[[#This Row],[pledged]]/Table1[[#This Row],[goal]]*100,2)</f>
        <v>50.62</v>
      </c>
      <c r="H916" s="5">
        <f>+Table1[[#This Row],[pledged]]/Table1[[#This Row],[goal]]</f>
        <v>0.50621082621082625</v>
      </c>
      <c r="I916" t="s">
        <v>14</v>
      </c>
      <c r="J916">
        <v>523</v>
      </c>
      <c r="K916" s="8">
        <f>IFERROR(Table1[[#This Row],[pledged]]/Table1[[#This Row],[backers_count]],"NA")</f>
        <v>67.946462715105156</v>
      </c>
      <c r="L916" t="s">
        <v>26</v>
      </c>
      <c r="M916" t="s">
        <v>27</v>
      </c>
      <c r="N916">
        <v>1557637200</v>
      </c>
      <c r="O916">
        <v>1558760400</v>
      </c>
      <c r="P916" s="11">
        <f>+(((Table1[[#This Row],[launched_at]]/60)/60)/24)+DATE(1970,1,1)</f>
        <v>43597.208333333328</v>
      </c>
      <c r="Q916" s="11">
        <f>+(((Table1[[#This Row],[deadline]]/60)/60)/24)+DATE(1970,1,1)</f>
        <v>43610.208333333328</v>
      </c>
      <c r="R916" t="b">
        <v>0</v>
      </c>
      <c r="S916" t="b">
        <v>0</v>
      </c>
      <c r="T916" t="s">
        <v>53</v>
      </c>
      <c r="U916" t="str">
        <f>+LEFT(Table1[[#This Row],[category &amp; sub-category]],FIND("/",Table1[[#This Row],[category &amp; sub-category]])-1)</f>
        <v>film &amp; video</v>
      </c>
      <c r="V916" t="str">
        <f>+RIGHT(Table1[[#This Row],[category &amp; sub-category]],LEN(Table1[[#This Row],[category &amp; sub-category]])-SEARCH("/",Table1[[#This Row],[category &amp; sub-category]]))</f>
        <v>drama</v>
      </c>
    </row>
    <row r="917" spans="2:22" ht="15.75" customHeight="1" x14ac:dyDescent="0.25">
      <c r="B917">
        <v>914</v>
      </c>
      <c r="C917" t="s">
        <v>1860</v>
      </c>
      <c r="D917" s="3" t="s">
        <v>1861</v>
      </c>
      <c r="E917" s="6">
        <v>6400</v>
      </c>
      <c r="F917" s="6">
        <v>3676</v>
      </c>
      <c r="G917" s="17">
        <f>ROUND(Table1[[#This Row],[pledged]]/Table1[[#This Row],[goal]]*100,2)</f>
        <v>57.44</v>
      </c>
      <c r="H917" s="5">
        <f>+Table1[[#This Row],[pledged]]/Table1[[#This Row],[goal]]</f>
        <v>0.57437499999999997</v>
      </c>
      <c r="I917" t="s">
        <v>14</v>
      </c>
      <c r="J917">
        <v>141</v>
      </c>
      <c r="K917" s="8">
        <f>IFERROR(Table1[[#This Row],[pledged]]/Table1[[#This Row],[backers_count]],"NA")</f>
        <v>26.070921985815602</v>
      </c>
      <c r="L917" t="s">
        <v>40</v>
      </c>
      <c r="M917" t="s">
        <v>41</v>
      </c>
      <c r="N917">
        <v>1375592400</v>
      </c>
      <c r="O917">
        <v>1376629200</v>
      </c>
      <c r="P917" s="11">
        <f>+(((Table1[[#This Row],[launched_at]]/60)/60)/24)+DATE(1970,1,1)</f>
        <v>41490.208333333336</v>
      </c>
      <c r="Q917" s="11">
        <f>+(((Table1[[#This Row],[deadline]]/60)/60)/24)+DATE(1970,1,1)</f>
        <v>41502.208333333336</v>
      </c>
      <c r="R917" t="b">
        <v>0</v>
      </c>
      <c r="S917" t="b">
        <v>0</v>
      </c>
      <c r="T917" t="s">
        <v>33</v>
      </c>
      <c r="U917" t="str">
        <f>+LEFT(Table1[[#This Row],[category &amp; sub-category]],FIND("/",Table1[[#This Row],[category &amp; sub-category]])-1)</f>
        <v>theater</v>
      </c>
      <c r="V917" t="str">
        <f>+RIGHT(Table1[[#This Row],[category &amp; sub-category]],LEN(Table1[[#This Row],[category &amp; sub-category]])-SEARCH("/",Table1[[#This Row],[category &amp; sub-category]]))</f>
        <v>plays</v>
      </c>
    </row>
    <row r="918" spans="2:22" ht="15.75" customHeight="1" x14ac:dyDescent="0.25">
      <c r="B918">
        <v>915</v>
      </c>
      <c r="C918" t="s">
        <v>1862</v>
      </c>
      <c r="D918" s="3" t="s">
        <v>1863</v>
      </c>
      <c r="E918" s="6">
        <v>125900</v>
      </c>
      <c r="F918" s="6">
        <v>195936</v>
      </c>
      <c r="G918" s="17">
        <f>ROUND(Table1[[#This Row],[pledged]]/Table1[[#This Row],[goal]]*100,2)</f>
        <v>155.63</v>
      </c>
      <c r="H918" s="5">
        <f>+Table1[[#This Row],[pledged]]/Table1[[#This Row],[goal]]</f>
        <v>1.5562827640984909</v>
      </c>
      <c r="I918" t="s">
        <v>20</v>
      </c>
      <c r="J918">
        <v>1866</v>
      </c>
      <c r="K918" s="8">
        <f>IFERROR(Table1[[#This Row],[pledged]]/Table1[[#This Row],[backers_count]],"NA")</f>
        <v>105.0032154340836</v>
      </c>
      <c r="L918" t="s">
        <v>40</v>
      </c>
      <c r="M918" t="s">
        <v>41</v>
      </c>
      <c r="N918">
        <v>1503982800</v>
      </c>
      <c r="O918">
        <v>1504760400</v>
      </c>
      <c r="P918" s="11">
        <f>+(((Table1[[#This Row],[launched_at]]/60)/60)/24)+DATE(1970,1,1)</f>
        <v>42976.208333333328</v>
      </c>
      <c r="Q918" s="11">
        <f>+(((Table1[[#This Row],[deadline]]/60)/60)/24)+DATE(1970,1,1)</f>
        <v>42985.208333333328</v>
      </c>
      <c r="R918" t="b">
        <v>0</v>
      </c>
      <c r="S918" t="b">
        <v>0</v>
      </c>
      <c r="T918" t="s">
        <v>269</v>
      </c>
      <c r="U918" t="str">
        <f>+LEFT(Table1[[#This Row],[category &amp; sub-category]],FIND("/",Table1[[#This Row],[category &amp; sub-category]])-1)</f>
        <v>film &amp; video</v>
      </c>
      <c r="V918" t="str">
        <f>+RIGHT(Table1[[#This Row],[category &amp; sub-category]],LEN(Table1[[#This Row],[category &amp; sub-category]])-SEARCH("/",Table1[[#This Row],[category &amp; sub-category]]))</f>
        <v>television</v>
      </c>
    </row>
    <row r="919" spans="2:22" ht="15.75" customHeight="1" x14ac:dyDescent="0.25">
      <c r="B919">
        <v>916</v>
      </c>
      <c r="C919" t="s">
        <v>1864</v>
      </c>
      <c r="D919" s="3" t="s">
        <v>1865</v>
      </c>
      <c r="E919" s="6">
        <v>3700</v>
      </c>
      <c r="F919" s="6">
        <v>1343</v>
      </c>
      <c r="G919" s="17">
        <f>ROUND(Table1[[#This Row],[pledged]]/Table1[[#This Row],[goal]]*100,2)</f>
        <v>36.299999999999997</v>
      </c>
      <c r="H919" s="5">
        <f>+Table1[[#This Row],[pledged]]/Table1[[#This Row],[goal]]</f>
        <v>0.36297297297297298</v>
      </c>
      <c r="I919" t="s">
        <v>14</v>
      </c>
      <c r="J919">
        <v>52</v>
      </c>
      <c r="K919" s="8">
        <f>IFERROR(Table1[[#This Row],[pledged]]/Table1[[#This Row],[backers_count]],"NA")</f>
        <v>25.826923076923077</v>
      </c>
      <c r="L919" t="s">
        <v>21</v>
      </c>
      <c r="M919" t="s">
        <v>22</v>
      </c>
      <c r="N919">
        <v>1418882400</v>
      </c>
      <c r="O919">
        <v>1419660000</v>
      </c>
      <c r="P919" s="11">
        <f>+(((Table1[[#This Row],[launched_at]]/60)/60)/24)+DATE(1970,1,1)</f>
        <v>41991.25</v>
      </c>
      <c r="Q919" s="11">
        <f>+(((Table1[[#This Row],[deadline]]/60)/60)/24)+DATE(1970,1,1)</f>
        <v>42000.25</v>
      </c>
      <c r="R919" t="b">
        <v>0</v>
      </c>
      <c r="S919" t="b">
        <v>0</v>
      </c>
      <c r="T919" t="s">
        <v>122</v>
      </c>
      <c r="U919" t="str">
        <f>+LEFT(Table1[[#This Row],[category &amp; sub-category]],FIND("/",Table1[[#This Row],[category &amp; sub-category]])-1)</f>
        <v>photography</v>
      </c>
      <c r="V919" t="str">
        <f>+RIGHT(Table1[[#This Row],[category &amp; sub-category]],LEN(Table1[[#This Row],[category &amp; sub-category]])-SEARCH("/",Table1[[#This Row],[category &amp; sub-category]]))</f>
        <v>photography books</v>
      </c>
    </row>
    <row r="920" spans="2:22" ht="15.75" customHeight="1" x14ac:dyDescent="0.25">
      <c r="B920">
        <v>917</v>
      </c>
      <c r="C920" t="s">
        <v>1866</v>
      </c>
      <c r="D920" s="3" t="s">
        <v>1867</v>
      </c>
      <c r="E920" s="6">
        <v>3600</v>
      </c>
      <c r="F920" s="6">
        <v>2097</v>
      </c>
      <c r="G920" s="17">
        <f>ROUND(Table1[[#This Row],[pledged]]/Table1[[#This Row],[goal]]*100,2)</f>
        <v>58.25</v>
      </c>
      <c r="H920" s="5">
        <f>+Table1[[#This Row],[pledged]]/Table1[[#This Row],[goal]]</f>
        <v>0.58250000000000002</v>
      </c>
      <c r="I920" t="s">
        <v>47</v>
      </c>
      <c r="J920">
        <v>27</v>
      </c>
      <c r="K920" s="8">
        <f>IFERROR(Table1[[#This Row],[pledged]]/Table1[[#This Row],[backers_count]],"NA")</f>
        <v>77.666666666666671</v>
      </c>
      <c r="L920" t="s">
        <v>40</v>
      </c>
      <c r="M920" t="s">
        <v>41</v>
      </c>
      <c r="N920">
        <v>1309237200</v>
      </c>
      <c r="O920">
        <v>1311310800</v>
      </c>
      <c r="P920" s="11">
        <f>+(((Table1[[#This Row],[launched_at]]/60)/60)/24)+DATE(1970,1,1)</f>
        <v>40722.208333333336</v>
      </c>
      <c r="Q920" s="11">
        <f>+(((Table1[[#This Row],[deadline]]/60)/60)/24)+DATE(1970,1,1)</f>
        <v>40746.208333333336</v>
      </c>
      <c r="R920" t="b">
        <v>0</v>
      </c>
      <c r="S920" t="b">
        <v>1</v>
      </c>
      <c r="T920" t="s">
        <v>100</v>
      </c>
      <c r="U920" t="str">
        <f>+LEFT(Table1[[#This Row],[category &amp; sub-category]],FIND("/",Table1[[#This Row],[category &amp; sub-category]])-1)</f>
        <v>film &amp; video</v>
      </c>
      <c r="V920" t="str">
        <f>+RIGHT(Table1[[#This Row],[category &amp; sub-category]],LEN(Table1[[#This Row],[category &amp; sub-category]])-SEARCH("/",Table1[[#This Row],[category &amp; sub-category]]))</f>
        <v>shorts</v>
      </c>
    </row>
    <row r="921" spans="2:22" ht="15.75" customHeight="1" x14ac:dyDescent="0.25">
      <c r="B921">
        <v>918</v>
      </c>
      <c r="C921" t="s">
        <v>1868</v>
      </c>
      <c r="D921" s="3" t="s">
        <v>1869</v>
      </c>
      <c r="E921" s="6">
        <v>3800</v>
      </c>
      <c r="F921" s="6">
        <v>9021</v>
      </c>
      <c r="G921" s="17">
        <f>ROUND(Table1[[#This Row],[pledged]]/Table1[[#This Row],[goal]]*100,2)</f>
        <v>237.39</v>
      </c>
      <c r="H921" s="5">
        <f>+Table1[[#This Row],[pledged]]/Table1[[#This Row],[goal]]</f>
        <v>2.3739473684210526</v>
      </c>
      <c r="I921" t="s">
        <v>20</v>
      </c>
      <c r="J921">
        <v>156</v>
      </c>
      <c r="K921" s="8">
        <f>IFERROR(Table1[[#This Row],[pledged]]/Table1[[#This Row],[backers_count]],"NA")</f>
        <v>57.82692307692308</v>
      </c>
      <c r="L921" t="s">
        <v>98</v>
      </c>
      <c r="M921" t="s">
        <v>99</v>
      </c>
      <c r="N921">
        <v>1343365200</v>
      </c>
      <c r="O921">
        <v>1344315600</v>
      </c>
      <c r="P921" s="11">
        <f>+(((Table1[[#This Row],[launched_at]]/60)/60)/24)+DATE(1970,1,1)</f>
        <v>41117.208333333336</v>
      </c>
      <c r="Q921" s="11">
        <f>+(((Table1[[#This Row],[deadline]]/60)/60)/24)+DATE(1970,1,1)</f>
        <v>41128.208333333336</v>
      </c>
      <c r="R921" t="b">
        <v>0</v>
      </c>
      <c r="S921" t="b">
        <v>0</v>
      </c>
      <c r="T921" t="s">
        <v>133</v>
      </c>
      <c r="U921" t="str">
        <f>+LEFT(Table1[[#This Row],[category &amp; sub-category]],FIND("/",Table1[[#This Row],[category &amp; sub-category]])-1)</f>
        <v>publishing</v>
      </c>
      <c r="V921" t="str">
        <f>+RIGHT(Table1[[#This Row],[category &amp; sub-category]],LEN(Table1[[#This Row],[category &amp; sub-category]])-SEARCH("/",Table1[[#This Row],[category &amp; sub-category]]))</f>
        <v>radio &amp; podcasts</v>
      </c>
    </row>
    <row r="922" spans="2:22" ht="15.75" customHeight="1" x14ac:dyDescent="0.25">
      <c r="B922">
        <v>919</v>
      </c>
      <c r="C922" t="s">
        <v>1870</v>
      </c>
      <c r="D922" s="3" t="s">
        <v>1871</v>
      </c>
      <c r="E922" s="6">
        <v>35600</v>
      </c>
      <c r="F922" s="6">
        <v>20915</v>
      </c>
      <c r="G922" s="17">
        <f>ROUND(Table1[[#This Row],[pledged]]/Table1[[#This Row],[goal]]*100,2)</f>
        <v>58.75</v>
      </c>
      <c r="H922" s="5">
        <f>+Table1[[#This Row],[pledged]]/Table1[[#This Row],[goal]]</f>
        <v>0.58750000000000002</v>
      </c>
      <c r="I922" t="s">
        <v>14</v>
      </c>
      <c r="J922">
        <v>225</v>
      </c>
      <c r="K922" s="8">
        <f>IFERROR(Table1[[#This Row],[pledged]]/Table1[[#This Row],[backers_count]],"NA")</f>
        <v>92.955555555555549</v>
      </c>
      <c r="L922" t="s">
        <v>26</v>
      </c>
      <c r="M922" t="s">
        <v>27</v>
      </c>
      <c r="N922">
        <v>1507957200</v>
      </c>
      <c r="O922">
        <v>1510725600</v>
      </c>
      <c r="P922" s="11">
        <f>+(((Table1[[#This Row],[launched_at]]/60)/60)/24)+DATE(1970,1,1)</f>
        <v>43022.208333333328</v>
      </c>
      <c r="Q922" s="11">
        <f>+(((Table1[[#This Row],[deadline]]/60)/60)/24)+DATE(1970,1,1)</f>
        <v>43054.25</v>
      </c>
      <c r="R922" t="b">
        <v>0</v>
      </c>
      <c r="S922" t="b">
        <v>1</v>
      </c>
      <c r="T922" t="s">
        <v>33</v>
      </c>
      <c r="U922" t="str">
        <f>+LEFT(Table1[[#This Row],[category &amp; sub-category]],FIND("/",Table1[[#This Row],[category &amp; sub-category]])-1)</f>
        <v>theater</v>
      </c>
      <c r="V922" t="str">
        <f>+RIGHT(Table1[[#This Row],[category &amp; sub-category]],LEN(Table1[[#This Row],[category &amp; sub-category]])-SEARCH("/",Table1[[#This Row],[category &amp; sub-category]]))</f>
        <v>plays</v>
      </c>
    </row>
    <row r="923" spans="2:22" ht="15.75" customHeight="1" x14ac:dyDescent="0.25">
      <c r="B923">
        <v>920</v>
      </c>
      <c r="C923" t="s">
        <v>1872</v>
      </c>
      <c r="D923" s="3" t="s">
        <v>1873</v>
      </c>
      <c r="E923" s="6">
        <v>5300</v>
      </c>
      <c r="F923" s="6">
        <v>9676</v>
      </c>
      <c r="G923" s="17">
        <f>ROUND(Table1[[#This Row],[pledged]]/Table1[[#This Row],[goal]]*100,2)</f>
        <v>182.57</v>
      </c>
      <c r="H923" s="5">
        <f>+Table1[[#This Row],[pledged]]/Table1[[#This Row],[goal]]</f>
        <v>1.8256603773584905</v>
      </c>
      <c r="I923" t="s">
        <v>20</v>
      </c>
      <c r="J923">
        <v>255</v>
      </c>
      <c r="K923" s="8">
        <f>IFERROR(Table1[[#This Row],[pledged]]/Table1[[#This Row],[backers_count]],"NA")</f>
        <v>37.945098039215686</v>
      </c>
      <c r="L923" t="s">
        <v>21</v>
      </c>
      <c r="M923" t="s">
        <v>22</v>
      </c>
      <c r="N923">
        <v>1549519200</v>
      </c>
      <c r="O923">
        <v>1551247200</v>
      </c>
      <c r="P923" s="11">
        <f>+(((Table1[[#This Row],[launched_at]]/60)/60)/24)+DATE(1970,1,1)</f>
        <v>43503.25</v>
      </c>
      <c r="Q923" s="11">
        <f>+(((Table1[[#This Row],[deadline]]/60)/60)/24)+DATE(1970,1,1)</f>
        <v>43523.25</v>
      </c>
      <c r="R923" t="b">
        <v>1</v>
      </c>
      <c r="S923" t="b">
        <v>0</v>
      </c>
      <c r="T923" t="s">
        <v>71</v>
      </c>
      <c r="U923" t="str">
        <f>+LEFT(Table1[[#This Row],[category &amp; sub-category]],FIND("/",Table1[[#This Row],[category &amp; sub-category]])-1)</f>
        <v>film &amp; video</v>
      </c>
      <c r="V923" t="str">
        <f>+RIGHT(Table1[[#This Row],[category &amp; sub-category]],LEN(Table1[[#This Row],[category &amp; sub-category]])-SEARCH("/",Table1[[#This Row],[category &amp; sub-category]]))</f>
        <v>animation</v>
      </c>
    </row>
    <row r="924" spans="2:22" ht="15.75" customHeight="1" x14ac:dyDescent="0.25">
      <c r="B924">
        <v>921</v>
      </c>
      <c r="C924" t="s">
        <v>1874</v>
      </c>
      <c r="D924" s="3" t="s">
        <v>1875</v>
      </c>
      <c r="E924" s="6">
        <v>160400</v>
      </c>
      <c r="F924" s="6">
        <v>1210</v>
      </c>
      <c r="G924" s="17">
        <f>ROUND(Table1[[#This Row],[pledged]]/Table1[[#This Row],[goal]]*100,2)</f>
        <v>0.75</v>
      </c>
      <c r="H924" s="5">
        <f>+Table1[[#This Row],[pledged]]/Table1[[#This Row],[goal]]</f>
        <v>7.5436408977556111E-3</v>
      </c>
      <c r="I924" t="s">
        <v>14</v>
      </c>
      <c r="J924">
        <v>38</v>
      </c>
      <c r="K924" s="8">
        <f>IFERROR(Table1[[#This Row],[pledged]]/Table1[[#This Row],[backers_count]],"NA")</f>
        <v>31.842105263157894</v>
      </c>
      <c r="L924" t="s">
        <v>21</v>
      </c>
      <c r="M924" t="s">
        <v>22</v>
      </c>
      <c r="N924">
        <v>1329026400</v>
      </c>
      <c r="O924">
        <v>1330236000</v>
      </c>
      <c r="P924" s="11">
        <f>+(((Table1[[#This Row],[launched_at]]/60)/60)/24)+DATE(1970,1,1)</f>
        <v>40951.25</v>
      </c>
      <c r="Q924" s="11">
        <f>+(((Table1[[#This Row],[deadline]]/60)/60)/24)+DATE(1970,1,1)</f>
        <v>40965.25</v>
      </c>
      <c r="R924" t="b">
        <v>0</v>
      </c>
      <c r="S924" t="b">
        <v>0</v>
      </c>
      <c r="T924" t="s">
        <v>28</v>
      </c>
      <c r="U924" t="str">
        <f>+LEFT(Table1[[#This Row],[category &amp; sub-category]],FIND("/",Table1[[#This Row],[category &amp; sub-category]])-1)</f>
        <v>technology</v>
      </c>
      <c r="V924" t="str">
        <f>+RIGHT(Table1[[#This Row],[category &amp; sub-category]],LEN(Table1[[#This Row],[category &amp; sub-category]])-SEARCH("/",Table1[[#This Row],[category &amp; sub-category]]))</f>
        <v>web</v>
      </c>
    </row>
    <row r="925" spans="2:22" ht="15.75" customHeight="1" x14ac:dyDescent="0.25">
      <c r="B925">
        <v>922</v>
      </c>
      <c r="C925" t="s">
        <v>1876</v>
      </c>
      <c r="D925" s="3" t="s">
        <v>1877</v>
      </c>
      <c r="E925" s="6">
        <v>51400</v>
      </c>
      <c r="F925" s="6">
        <v>90440</v>
      </c>
      <c r="G925" s="17">
        <f>ROUND(Table1[[#This Row],[pledged]]/Table1[[#This Row],[goal]]*100,2)</f>
        <v>175.95</v>
      </c>
      <c r="H925" s="5">
        <f>+Table1[[#This Row],[pledged]]/Table1[[#This Row],[goal]]</f>
        <v>1.7595330739299611</v>
      </c>
      <c r="I925" t="s">
        <v>20</v>
      </c>
      <c r="J925">
        <v>2261</v>
      </c>
      <c r="K925" s="8">
        <f>IFERROR(Table1[[#This Row],[pledged]]/Table1[[#This Row],[backers_count]],"NA")</f>
        <v>40</v>
      </c>
      <c r="L925" t="s">
        <v>21</v>
      </c>
      <c r="M925" t="s">
        <v>22</v>
      </c>
      <c r="N925">
        <v>1544335200</v>
      </c>
      <c r="O925">
        <v>1545112800</v>
      </c>
      <c r="P925" s="11">
        <f>+(((Table1[[#This Row],[launched_at]]/60)/60)/24)+DATE(1970,1,1)</f>
        <v>43443.25</v>
      </c>
      <c r="Q925" s="11">
        <f>+(((Table1[[#This Row],[deadline]]/60)/60)/24)+DATE(1970,1,1)</f>
        <v>43452.25</v>
      </c>
      <c r="R925" t="b">
        <v>0</v>
      </c>
      <c r="S925" t="b">
        <v>1</v>
      </c>
      <c r="T925" t="s">
        <v>319</v>
      </c>
      <c r="U925" t="str">
        <f>+LEFT(Table1[[#This Row],[category &amp; sub-category]],FIND("/",Table1[[#This Row],[category &amp; sub-category]])-1)</f>
        <v>music</v>
      </c>
      <c r="V925" t="str">
        <f>+RIGHT(Table1[[#This Row],[category &amp; sub-category]],LEN(Table1[[#This Row],[category &amp; sub-category]])-SEARCH("/",Table1[[#This Row],[category &amp; sub-category]]))</f>
        <v>world music</v>
      </c>
    </row>
    <row r="926" spans="2:22" ht="15.75" customHeight="1" x14ac:dyDescent="0.25">
      <c r="B926">
        <v>923</v>
      </c>
      <c r="C926" t="s">
        <v>1878</v>
      </c>
      <c r="D926" s="3" t="s">
        <v>1879</v>
      </c>
      <c r="E926" s="6">
        <v>1700</v>
      </c>
      <c r="F926" s="6">
        <v>4044</v>
      </c>
      <c r="G926" s="17">
        <f>ROUND(Table1[[#This Row],[pledged]]/Table1[[#This Row],[goal]]*100,2)</f>
        <v>237.88</v>
      </c>
      <c r="H926" s="5">
        <f>+Table1[[#This Row],[pledged]]/Table1[[#This Row],[goal]]</f>
        <v>2.3788235294117648</v>
      </c>
      <c r="I926" t="s">
        <v>20</v>
      </c>
      <c r="J926">
        <v>40</v>
      </c>
      <c r="K926" s="8">
        <f>IFERROR(Table1[[#This Row],[pledged]]/Table1[[#This Row],[backers_count]],"NA")</f>
        <v>101.1</v>
      </c>
      <c r="L926" t="s">
        <v>21</v>
      </c>
      <c r="M926" t="s">
        <v>22</v>
      </c>
      <c r="N926">
        <v>1279083600</v>
      </c>
      <c r="O926">
        <v>1279170000</v>
      </c>
      <c r="P926" s="11">
        <f>+(((Table1[[#This Row],[launched_at]]/60)/60)/24)+DATE(1970,1,1)</f>
        <v>40373.208333333336</v>
      </c>
      <c r="Q926" s="11">
        <f>+(((Table1[[#This Row],[deadline]]/60)/60)/24)+DATE(1970,1,1)</f>
        <v>40374.208333333336</v>
      </c>
      <c r="R926" t="b">
        <v>0</v>
      </c>
      <c r="S926" t="b">
        <v>0</v>
      </c>
      <c r="T926" t="s">
        <v>33</v>
      </c>
      <c r="U926" t="str">
        <f>+LEFT(Table1[[#This Row],[category &amp; sub-category]],FIND("/",Table1[[#This Row],[category &amp; sub-category]])-1)</f>
        <v>theater</v>
      </c>
      <c r="V926" t="str">
        <f>+RIGHT(Table1[[#This Row],[category &amp; sub-category]],LEN(Table1[[#This Row],[category &amp; sub-category]])-SEARCH("/",Table1[[#This Row],[category &amp; sub-category]]))</f>
        <v>plays</v>
      </c>
    </row>
    <row r="927" spans="2:22" ht="15.75" customHeight="1" x14ac:dyDescent="0.25">
      <c r="B927">
        <v>924</v>
      </c>
      <c r="C927" t="s">
        <v>1880</v>
      </c>
      <c r="D927" s="3" t="s">
        <v>1881</v>
      </c>
      <c r="E927" s="6">
        <v>39400</v>
      </c>
      <c r="F927" s="6">
        <v>192292</v>
      </c>
      <c r="G927" s="17">
        <f>ROUND(Table1[[#This Row],[pledged]]/Table1[[#This Row],[goal]]*100,2)</f>
        <v>488.05</v>
      </c>
      <c r="H927" s="5">
        <f>+Table1[[#This Row],[pledged]]/Table1[[#This Row],[goal]]</f>
        <v>4.8805076142131982</v>
      </c>
      <c r="I927" t="s">
        <v>20</v>
      </c>
      <c r="J927">
        <v>2289</v>
      </c>
      <c r="K927" s="8">
        <f>IFERROR(Table1[[#This Row],[pledged]]/Table1[[#This Row],[backers_count]],"NA")</f>
        <v>84.006989951944078</v>
      </c>
      <c r="L927" t="s">
        <v>107</v>
      </c>
      <c r="M927" t="s">
        <v>108</v>
      </c>
      <c r="N927">
        <v>1572498000</v>
      </c>
      <c r="O927">
        <v>1573452000</v>
      </c>
      <c r="P927" s="11">
        <f>+(((Table1[[#This Row],[launched_at]]/60)/60)/24)+DATE(1970,1,1)</f>
        <v>43769.208333333328</v>
      </c>
      <c r="Q927" s="11">
        <f>+(((Table1[[#This Row],[deadline]]/60)/60)/24)+DATE(1970,1,1)</f>
        <v>43780.25</v>
      </c>
      <c r="R927" t="b">
        <v>0</v>
      </c>
      <c r="S927" t="b">
        <v>0</v>
      </c>
      <c r="T927" t="s">
        <v>33</v>
      </c>
      <c r="U927" t="str">
        <f>+LEFT(Table1[[#This Row],[category &amp; sub-category]],FIND("/",Table1[[#This Row],[category &amp; sub-category]])-1)</f>
        <v>theater</v>
      </c>
      <c r="V927" t="str">
        <f>+RIGHT(Table1[[#This Row],[category &amp; sub-category]],LEN(Table1[[#This Row],[category &amp; sub-category]])-SEARCH("/",Table1[[#This Row],[category &amp; sub-category]]))</f>
        <v>plays</v>
      </c>
    </row>
    <row r="928" spans="2:22" ht="15.75" customHeight="1" x14ac:dyDescent="0.25">
      <c r="B928">
        <v>925</v>
      </c>
      <c r="C928" t="s">
        <v>1882</v>
      </c>
      <c r="D928" s="3" t="s">
        <v>1883</v>
      </c>
      <c r="E928" s="6">
        <v>3000</v>
      </c>
      <c r="F928" s="6">
        <v>6722</v>
      </c>
      <c r="G928" s="17">
        <f>ROUND(Table1[[#This Row],[pledged]]/Table1[[#This Row],[goal]]*100,2)</f>
        <v>224.07</v>
      </c>
      <c r="H928" s="5">
        <f>+Table1[[#This Row],[pledged]]/Table1[[#This Row],[goal]]</f>
        <v>2.2406666666666668</v>
      </c>
      <c r="I928" t="s">
        <v>20</v>
      </c>
      <c r="J928">
        <v>65</v>
      </c>
      <c r="K928" s="8">
        <f>IFERROR(Table1[[#This Row],[pledged]]/Table1[[#This Row],[backers_count]],"NA")</f>
        <v>103.41538461538461</v>
      </c>
      <c r="L928" t="s">
        <v>21</v>
      </c>
      <c r="M928" t="s">
        <v>22</v>
      </c>
      <c r="N928">
        <v>1506056400</v>
      </c>
      <c r="O928">
        <v>1507093200</v>
      </c>
      <c r="P928" s="11">
        <f>+(((Table1[[#This Row],[launched_at]]/60)/60)/24)+DATE(1970,1,1)</f>
        <v>43000.208333333328</v>
      </c>
      <c r="Q928" s="11">
        <f>+(((Table1[[#This Row],[deadline]]/60)/60)/24)+DATE(1970,1,1)</f>
        <v>43012.208333333328</v>
      </c>
      <c r="R928" t="b">
        <v>0</v>
      </c>
      <c r="S928" t="b">
        <v>0</v>
      </c>
      <c r="T928" t="s">
        <v>33</v>
      </c>
      <c r="U928" t="str">
        <f>+LEFT(Table1[[#This Row],[category &amp; sub-category]],FIND("/",Table1[[#This Row],[category &amp; sub-category]])-1)</f>
        <v>theater</v>
      </c>
      <c r="V928" t="str">
        <f>+RIGHT(Table1[[#This Row],[category &amp; sub-category]],LEN(Table1[[#This Row],[category &amp; sub-category]])-SEARCH("/",Table1[[#This Row],[category &amp; sub-category]]))</f>
        <v>plays</v>
      </c>
    </row>
    <row r="929" spans="2:22" ht="15.75" customHeight="1" x14ac:dyDescent="0.25">
      <c r="B929">
        <v>926</v>
      </c>
      <c r="C929" t="s">
        <v>1884</v>
      </c>
      <c r="D929" s="3" t="s">
        <v>1885</v>
      </c>
      <c r="E929" s="6">
        <v>8700</v>
      </c>
      <c r="F929" s="6">
        <v>1577</v>
      </c>
      <c r="G929" s="17">
        <f>ROUND(Table1[[#This Row],[pledged]]/Table1[[#This Row],[goal]]*100,2)</f>
        <v>18.13</v>
      </c>
      <c r="H929" s="5">
        <f>+Table1[[#This Row],[pledged]]/Table1[[#This Row],[goal]]</f>
        <v>0.18126436781609195</v>
      </c>
      <c r="I929" t="s">
        <v>14</v>
      </c>
      <c r="J929">
        <v>15</v>
      </c>
      <c r="K929" s="8">
        <f>IFERROR(Table1[[#This Row],[pledged]]/Table1[[#This Row],[backers_count]],"NA")</f>
        <v>105.13333333333334</v>
      </c>
      <c r="L929" t="s">
        <v>21</v>
      </c>
      <c r="M929" t="s">
        <v>22</v>
      </c>
      <c r="N929">
        <v>1463029200</v>
      </c>
      <c r="O929">
        <v>1463374800</v>
      </c>
      <c r="P929" s="11">
        <f>+(((Table1[[#This Row],[launched_at]]/60)/60)/24)+DATE(1970,1,1)</f>
        <v>42502.208333333328</v>
      </c>
      <c r="Q929" s="11">
        <f>+(((Table1[[#This Row],[deadline]]/60)/60)/24)+DATE(1970,1,1)</f>
        <v>42506.208333333328</v>
      </c>
      <c r="R929" t="b">
        <v>0</v>
      </c>
      <c r="S929" t="b">
        <v>0</v>
      </c>
      <c r="T929" t="s">
        <v>17</v>
      </c>
      <c r="U929" t="str">
        <f>+LEFT(Table1[[#This Row],[category &amp; sub-category]],FIND("/",Table1[[#This Row],[category &amp; sub-category]])-1)</f>
        <v>food</v>
      </c>
      <c r="V929" t="str">
        <f>+RIGHT(Table1[[#This Row],[category &amp; sub-category]],LEN(Table1[[#This Row],[category &amp; sub-category]])-SEARCH("/",Table1[[#This Row],[category &amp; sub-category]]))</f>
        <v>food trucks</v>
      </c>
    </row>
    <row r="930" spans="2:22" ht="15.75" customHeight="1" x14ac:dyDescent="0.25">
      <c r="B930">
        <v>927</v>
      </c>
      <c r="C930" t="s">
        <v>1886</v>
      </c>
      <c r="D930" s="3" t="s">
        <v>1887</v>
      </c>
      <c r="E930" s="6">
        <v>7200</v>
      </c>
      <c r="F930" s="6">
        <v>3301</v>
      </c>
      <c r="G930" s="17">
        <f>ROUND(Table1[[#This Row],[pledged]]/Table1[[#This Row],[goal]]*100,2)</f>
        <v>45.85</v>
      </c>
      <c r="H930" s="5">
        <f>+Table1[[#This Row],[pledged]]/Table1[[#This Row],[goal]]</f>
        <v>0.45847222222222223</v>
      </c>
      <c r="I930" t="s">
        <v>14</v>
      </c>
      <c r="J930">
        <v>37</v>
      </c>
      <c r="K930" s="8">
        <f>IFERROR(Table1[[#This Row],[pledged]]/Table1[[#This Row],[backers_count]],"NA")</f>
        <v>89.21621621621621</v>
      </c>
      <c r="L930" t="s">
        <v>21</v>
      </c>
      <c r="M930" t="s">
        <v>22</v>
      </c>
      <c r="N930">
        <v>1342069200</v>
      </c>
      <c r="O930">
        <v>1344574800</v>
      </c>
      <c r="P930" s="11">
        <f>+(((Table1[[#This Row],[launched_at]]/60)/60)/24)+DATE(1970,1,1)</f>
        <v>41102.208333333336</v>
      </c>
      <c r="Q930" s="11">
        <f>+(((Table1[[#This Row],[deadline]]/60)/60)/24)+DATE(1970,1,1)</f>
        <v>41131.208333333336</v>
      </c>
      <c r="R930" t="b">
        <v>0</v>
      </c>
      <c r="S930" t="b">
        <v>0</v>
      </c>
      <c r="T930" t="s">
        <v>33</v>
      </c>
      <c r="U930" t="str">
        <f>+LEFT(Table1[[#This Row],[category &amp; sub-category]],FIND("/",Table1[[#This Row],[category &amp; sub-category]])-1)</f>
        <v>theater</v>
      </c>
      <c r="V930" t="str">
        <f>+RIGHT(Table1[[#This Row],[category &amp; sub-category]],LEN(Table1[[#This Row],[category &amp; sub-category]])-SEARCH("/",Table1[[#This Row],[category &amp; sub-category]]))</f>
        <v>plays</v>
      </c>
    </row>
    <row r="931" spans="2:22" ht="15.75" customHeight="1" x14ac:dyDescent="0.25">
      <c r="B931">
        <v>928</v>
      </c>
      <c r="C931" t="s">
        <v>1888</v>
      </c>
      <c r="D931" s="3" t="s">
        <v>1889</v>
      </c>
      <c r="E931" s="6">
        <v>167400</v>
      </c>
      <c r="F931" s="6">
        <v>196386</v>
      </c>
      <c r="G931" s="17">
        <f>ROUND(Table1[[#This Row],[pledged]]/Table1[[#This Row],[goal]]*100,2)</f>
        <v>117.32</v>
      </c>
      <c r="H931" s="5">
        <f>+Table1[[#This Row],[pledged]]/Table1[[#This Row],[goal]]</f>
        <v>1.1731541218637993</v>
      </c>
      <c r="I931" t="s">
        <v>20</v>
      </c>
      <c r="J931">
        <v>3777</v>
      </c>
      <c r="K931" s="8">
        <f>IFERROR(Table1[[#This Row],[pledged]]/Table1[[#This Row],[backers_count]],"NA")</f>
        <v>51.995234312946785</v>
      </c>
      <c r="L931" t="s">
        <v>107</v>
      </c>
      <c r="M931" t="s">
        <v>108</v>
      </c>
      <c r="N931">
        <v>1388296800</v>
      </c>
      <c r="O931">
        <v>1389074400</v>
      </c>
      <c r="P931" s="11">
        <f>+(((Table1[[#This Row],[launched_at]]/60)/60)/24)+DATE(1970,1,1)</f>
        <v>41637.25</v>
      </c>
      <c r="Q931" s="11">
        <f>+(((Table1[[#This Row],[deadline]]/60)/60)/24)+DATE(1970,1,1)</f>
        <v>41646.25</v>
      </c>
      <c r="R931" t="b">
        <v>0</v>
      </c>
      <c r="S931" t="b">
        <v>0</v>
      </c>
      <c r="T931" t="s">
        <v>28</v>
      </c>
      <c r="U931" t="str">
        <f>+LEFT(Table1[[#This Row],[category &amp; sub-category]],FIND("/",Table1[[#This Row],[category &amp; sub-category]])-1)</f>
        <v>technology</v>
      </c>
      <c r="V931" t="str">
        <f>+RIGHT(Table1[[#This Row],[category &amp; sub-category]],LEN(Table1[[#This Row],[category &amp; sub-category]])-SEARCH("/",Table1[[#This Row],[category &amp; sub-category]]))</f>
        <v>web</v>
      </c>
    </row>
    <row r="932" spans="2:22" ht="15.75" customHeight="1" x14ac:dyDescent="0.25">
      <c r="B932">
        <v>929</v>
      </c>
      <c r="C932" t="s">
        <v>1890</v>
      </c>
      <c r="D932" s="3" t="s">
        <v>1891</v>
      </c>
      <c r="E932" s="6">
        <v>5500</v>
      </c>
      <c r="F932" s="6">
        <v>11952</v>
      </c>
      <c r="G932" s="17">
        <f>ROUND(Table1[[#This Row],[pledged]]/Table1[[#This Row],[goal]]*100,2)</f>
        <v>217.31</v>
      </c>
      <c r="H932" s="5">
        <f>+Table1[[#This Row],[pledged]]/Table1[[#This Row],[goal]]</f>
        <v>2.173090909090909</v>
      </c>
      <c r="I932" t="s">
        <v>20</v>
      </c>
      <c r="J932">
        <v>184</v>
      </c>
      <c r="K932" s="8">
        <f>IFERROR(Table1[[#This Row],[pledged]]/Table1[[#This Row],[backers_count]],"NA")</f>
        <v>64.956521739130437</v>
      </c>
      <c r="L932" t="s">
        <v>40</v>
      </c>
      <c r="M932" t="s">
        <v>41</v>
      </c>
      <c r="N932">
        <v>1493787600</v>
      </c>
      <c r="O932">
        <v>1494997200</v>
      </c>
      <c r="P932" s="11">
        <f>+(((Table1[[#This Row],[launched_at]]/60)/60)/24)+DATE(1970,1,1)</f>
        <v>42858.208333333328</v>
      </c>
      <c r="Q932" s="11">
        <f>+(((Table1[[#This Row],[deadline]]/60)/60)/24)+DATE(1970,1,1)</f>
        <v>42872.208333333328</v>
      </c>
      <c r="R932" t="b">
        <v>0</v>
      </c>
      <c r="S932" t="b">
        <v>0</v>
      </c>
      <c r="T932" t="s">
        <v>33</v>
      </c>
      <c r="U932" t="str">
        <f>+LEFT(Table1[[#This Row],[category &amp; sub-category]],FIND("/",Table1[[#This Row],[category &amp; sub-category]])-1)</f>
        <v>theater</v>
      </c>
      <c r="V932" t="str">
        <f>+RIGHT(Table1[[#This Row],[category &amp; sub-category]],LEN(Table1[[#This Row],[category &amp; sub-category]])-SEARCH("/",Table1[[#This Row],[category &amp; sub-category]]))</f>
        <v>plays</v>
      </c>
    </row>
    <row r="933" spans="2:22" ht="15.75" customHeight="1" x14ac:dyDescent="0.25">
      <c r="B933">
        <v>930</v>
      </c>
      <c r="C933" t="s">
        <v>1892</v>
      </c>
      <c r="D933" s="3" t="s">
        <v>1893</v>
      </c>
      <c r="E933" s="6">
        <v>3500</v>
      </c>
      <c r="F933" s="6">
        <v>3930</v>
      </c>
      <c r="G933" s="17">
        <f>ROUND(Table1[[#This Row],[pledged]]/Table1[[#This Row],[goal]]*100,2)</f>
        <v>112.29</v>
      </c>
      <c r="H933" s="5">
        <f>+Table1[[#This Row],[pledged]]/Table1[[#This Row],[goal]]</f>
        <v>1.1228571428571428</v>
      </c>
      <c r="I933" t="s">
        <v>20</v>
      </c>
      <c r="J933">
        <v>85</v>
      </c>
      <c r="K933" s="8">
        <f>IFERROR(Table1[[#This Row],[pledged]]/Table1[[#This Row],[backers_count]],"NA")</f>
        <v>46.235294117647058</v>
      </c>
      <c r="L933" t="s">
        <v>21</v>
      </c>
      <c r="M933" t="s">
        <v>22</v>
      </c>
      <c r="N933">
        <v>1424844000</v>
      </c>
      <c r="O933">
        <v>1425448800</v>
      </c>
      <c r="P933" s="11">
        <f>+(((Table1[[#This Row],[launched_at]]/60)/60)/24)+DATE(1970,1,1)</f>
        <v>42060.25</v>
      </c>
      <c r="Q933" s="11">
        <f>+(((Table1[[#This Row],[deadline]]/60)/60)/24)+DATE(1970,1,1)</f>
        <v>42067.25</v>
      </c>
      <c r="R933" t="b">
        <v>0</v>
      </c>
      <c r="S933" t="b">
        <v>1</v>
      </c>
      <c r="T933" t="s">
        <v>33</v>
      </c>
      <c r="U933" t="str">
        <f>+LEFT(Table1[[#This Row],[category &amp; sub-category]],FIND("/",Table1[[#This Row],[category &amp; sub-category]])-1)</f>
        <v>theater</v>
      </c>
      <c r="V933" t="str">
        <f>+RIGHT(Table1[[#This Row],[category &amp; sub-category]],LEN(Table1[[#This Row],[category &amp; sub-category]])-SEARCH("/",Table1[[#This Row],[category &amp; sub-category]]))</f>
        <v>plays</v>
      </c>
    </row>
    <row r="934" spans="2:22" ht="15.75" customHeight="1" x14ac:dyDescent="0.25">
      <c r="B934">
        <v>931</v>
      </c>
      <c r="C934" t="s">
        <v>1894</v>
      </c>
      <c r="D934" s="3" t="s">
        <v>1895</v>
      </c>
      <c r="E934" s="6">
        <v>7900</v>
      </c>
      <c r="F934" s="6">
        <v>5729</v>
      </c>
      <c r="G934" s="17">
        <f>ROUND(Table1[[#This Row],[pledged]]/Table1[[#This Row],[goal]]*100,2)</f>
        <v>72.52</v>
      </c>
      <c r="H934" s="5">
        <f>+Table1[[#This Row],[pledged]]/Table1[[#This Row],[goal]]</f>
        <v>0.72518987341772156</v>
      </c>
      <c r="I934" t="s">
        <v>14</v>
      </c>
      <c r="J934">
        <v>112</v>
      </c>
      <c r="K934" s="8">
        <f>IFERROR(Table1[[#This Row],[pledged]]/Table1[[#This Row],[backers_count]],"NA")</f>
        <v>51.151785714285715</v>
      </c>
      <c r="L934" t="s">
        <v>21</v>
      </c>
      <c r="M934" t="s">
        <v>22</v>
      </c>
      <c r="N934">
        <v>1403931600</v>
      </c>
      <c r="O934">
        <v>1404104400</v>
      </c>
      <c r="P934" s="11">
        <f>+(((Table1[[#This Row],[launched_at]]/60)/60)/24)+DATE(1970,1,1)</f>
        <v>41818.208333333336</v>
      </c>
      <c r="Q934" s="11">
        <f>+(((Table1[[#This Row],[deadline]]/60)/60)/24)+DATE(1970,1,1)</f>
        <v>41820.208333333336</v>
      </c>
      <c r="R934" t="b">
        <v>0</v>
      </c>
      <c r="S934" t="b">
        <v>1</v>
      </c>
      <c r="T934" t="s">
        <v>33</v>
      </c>
      <c r="U934" t="str">
        <f>+LEFT(Table1[[#This Row],[category &amp; sub-category]],FIND("/",Table1[[#This Row],[category &amp; sub-category]])-1)</f>
        <v>theater</v>
      </c>
      <c r="V934" t="str">
        <f>+RIGHT(Table1[[#This Row],[category &amp; sub-category]],LEN(Table1[[#This Row],[category &amp; sub-category]])-SEARCH("/",Table1[[#This Row],[category &amp; sub-category]]))</f>
        <v>plays</v>
      </c>
    </row>
    <row r="935" spans="2:22" ht="15.75" customHeight="1" x14ac:dyDescent="0.25">
      <c r="B935">
        <v>932</v>
      </c>
      <c r="C935" t="s">
        <v>1896</v>
      </c>
      <c r="D935" s="3" t="s">
        <v>1897</v>
      </c>
      <c r="E935" s="6">
        <v>2300</v>
      </c>
      <c r="F935" s="6">
        <v>4883</v>
      </c>
      <c r="G935" s="17">
        <f>ROUND(Table1[[#This Row],[pledged]]/Table1[[#This Row],[goal]]*100,2)</f>
        <v>212.3</v>
      </c>
      <c r="H935" s="5">
        <f>+Table1[[#This Row],[pledged]]/Table1[[#This Row],[goal]]</f>
        <v>2.1230434782608696</v>
      </c>
      <c r="I935" t="s">
        <v>20</v>
      </c>
      <c r="J935">
        <v>144</v>
      </c>
      <c r="K935" s="8">
        <f>IFERROR(Table1[[#This Row],[pledged]]/Table1[[#This Row],[backers_count]],"NA")</f>
        <v>33.909722222222221</v>
      </c>
      <c r="L935" t="s">
        <v>21</v>
      </c>
      <c r="M935" t="s">
        <v>22</v>
      </c>
      <c r="N935">
        <v>1394514000</v>
      </c>
      <c r="O935">
        <v>1394773200</v>
      </c>
      <c r="P935" s="11">
        <f>+(((Table1[[#This Row],[launched_at]]/60)/60)/24)+DATE(1970,1,1)</f>
        <v>41709.208333333336</v>
      </c>
      <c r="Q935" s="11">
        <f>+(((Table1[[#This Row],[deadline]]/60)/60)/24)+DATE(1970,1,1)</f>
        <v>41712.208333333336</v>
      </c>
      <c r="R935" t="b">
        <v>0</v>
      </c>
      <c r="S935" t="b">
        <v>0</v>
      </c>
      <c r="T935" t="s">
        <v>23</v>
      </c>
      <c r="U935" t="str">
        <f>+LEFT(Table1[[#This Row],[category &amp; sub-category]],FIND("/",Table1[[#This Row],[category &amp; sub-category]])-1)</f>
        <v>music</v>
      </c>
      <c r="V935" t="str">
        <f>+RIGHT(Table1[[#This Row],[category &amp; sub-category]],LEN(Table1[[#This Row],[category &amp; sub-category]])-SEARCH("/",Table1[[#This Row],[category &amp; sub-category]]))</f>
        <v>rock</v>
      </c>
    </row>
    <row r="936" spans="2:22" ht="15.75" customHeight="1" x14ac:dyDescent="0.25">
      <c r="B936">
        <v>933</v>
      </c>
      <c r="C936" t="s">
        <v>1898</v>
      </c>
      <c r="D936" s="3" t="s">
        <v>1899</v>
      </c>
      <c r="E936" s="6">
        <v>73000</v>
      </c>
      <c r="F936" s="6">
        <v>175015</v>
      </c>
      <c r="G936" s="17">
        <f>ROUND(Table1[[#This Row],[pledged]]/Table1[[#This Row],[goal]]*100,2)</f>
        <v>239.75</v>
      </c>
      <c r="H936" s="5">
        <f>+Table1[[#This Row],[pledged]]/Table1[[#This Row],[goal]]</f>
        <v>2.3974657534246577</v>
      </c>
      <c r="I936" t="s">
        <v>20</v>
      </c>
      <c r="J936">
        <v>1902</v>
      </c>
      <c r="K936" s="8">
        <f>IFERROR(Table1[[#This Row],[pledged]]/Table1[[#This Row],[backers_count]],"NA")</f>
        <v>92.016298633017882</v>
      </c>
      <c r="L936" t="s">
        <v>21</v>
      </c>
      <c r="M936" t="s">
        <v>22</v>
      </c>
      <c r="N936">
        <v>1365397200</v>
      </c>
      <c r="O936">
        <v>1366520400</v>
      </c>
      <c r="P936" s="11">
        <f>+(((Table1[[#This Row],[launched_at]]/60)/60)/24)+DATE(1970,1,1)</f>
        <v>41372.208333333336</v>
      </c>
      <c r="Q936" s="11">
        <f>+(((Table1[[#This Row],[deadline]]/60)/60)/24)+DATE(1970,1,1)</f>
        <v>41385.208333333336</v>
      </c>
      <c r="R936" t="b">
        <v>0</v>
      </c>
      <c r="S936" t="b">
        <v>0</v>
      </c>
      <c r="T936" t="s">
        <v>33</v>
      </c>
      <c r="U936" t="str">
        <f>+LEFT(Table1[[#This Row],[category &amp; sub-category]],FIND("/",Table1[[#This Row],[category &amp; sub-category]])-1)</f>
        <v>theater</v>
      </c>
      <c r="V936" t="str">
        <f>+RIGHT(Table1[[#This Row],[category &amp; sub-category]],LEN(Table1[[#This Row],[category &amp; sub-category]])-SEARCH("/",Table1[[#This Row],[category &amp; sub-category]]))</f>
        <v>plays</v>
      </c>
    </row>
    <row r="937" spans="2:22" ht="15.75" customHeight="1" x14ac:dyDescent="0.25">
      <c r="B937">
        <v>934</v>
      </c>
      <c r="C937" t="s">
        <v>1900</v>
      </c>
      <c r="D937" s="3" t="s">
        <v>1901</v>
      </c>
      <c r="E937" s="6">
        <v>6200</v>
      </c>
      <c r="F937" s="6">
        <v>11280</v>
      </c>
      <c r="G937" s="17">
        <f>ROUND(Table1[[#This Row],[pledged]]/Table1[[#This Row],[goal]]*100,2)</f>
        <v>181.94</v>
      </c>
      <c r="H937" s="5">
        <f>+Table1[[#This Row],[pledged]]/Table1[[#This Row],[goal]]</f>
        <v>1.8193548387096774</v>
      </c>
      <c r="I937" t="s">
        <v>20</v>
      </c>
      <c r="J937">
        <v>105</v>
      </c>
      <c r="K937" s="8">
        <f>IFERROR(Table1[[#This Row],[pledged]]/Table1[[#This Row],[backers_count]],"NA")</f>
        <v>107.42857142857143</v>
      </c>
      <c r="L937" t="s">
        <v>21</v>
      </c>
      <c r="M937" t="s">
        <v>22</v>
      </c>
      <c r="N937">
        <v>1456120800</v>
      </c>
      <c r="O937">
        <v>1456639200</v>
      </c>
      <c r="P937" s="11">
        <f>+(((Table1[[#This Row],[launched_at]]/60)/60)/24)+DATE(1970,1,1)</f>
        <v>42422.25</v>
      </c>
      <c r="Q937" s="11">
        <f>+(((Table1[[#This Row],[deadline]]/60)/60)/24)+DATE(1970,1,1)</f>
        <v>42428.25</v>
      </c>
      <c r="R937" t="b">
        <v>0</v>
      </c>
      <c r="S937" t="b">
        <v>0</v>
      </c>
      <c r="T937" t="s">
        <v>33</v>
      </c>
      <c r="U937" t="str">
        <f>+LEFT(Table1[[#This Row],[category &amp; sub-category]],FIND("/",Table1[[#This Row],[category &amp; sub-category]])-1)</f>
        <v>theater</v>
      </c>
      <c r="V937" t="str">
        <f>+RIGHT(Table1[[#This Row],[category &amp; sub-category]],LEN(Table1[[#This Row],[category &amp; sub-category]])-SEARCH("/",Table1[[#This Row],[category &amp; sub-category]]))</f>
        <v>plays</v>
      </c>
    </row>
    <row r="938" spans="2:22" ht="15.75" customHeight="1" x14ac:dyDescent="0.25">
      <c r="B938">
        <v>935</v>
      </c>
      <c r="C938" t="s">
        <v>1902</v>
      </c>
      <c r="D938" s="3" t="s">
        <v>1903</v>
      </c>
      <c r="E938" s="6">
        <v>6100</v>
      </c>
      <c r="F938" s="6">
        <v>10012</v>
      </c>
      <c r="G938" s="17">
        <f>ROUND(Table1[[#This Row],[pledged]]/Table1[[#This Row],[goal]]*100,2)</f>
        <v>164.13</v>
      </c>
      <c r="H938" s="5">
        <f>+Table1[[#This Row],[pledged]]/Table1[[#This Row],[goal]]</f>
        <v>1.6413114754098361</v>
      </c>
      <c r="I938" t="s">
        <v>20</v>
      </c>
      <c r="J938">
        <v>132</v>
      </c>
      <c r="K938" s="8">
        <f>IFERROR(Table1[[#This Row],[pledged]]/Table1[[#This Row],[backers_count]],"NA")</f>
        <v>75.848484848484844</v>
      </c>
      <c r="L938" t="s">
        <v>21</v>
      </c>
      <c r="M938" t="s">
        <v>22</v>
      </c>
      <c r="N938">
        <v>1437714000</v>
      </c>
      <c r="O938">
        <v>1438318800</v>
      </c>
      <c r="P938" s="11">
        <f>+(((Table1[[#This Row],[launched_at]]/60)/60)/24)+DATE(1970,1,1)</f>
        <v>42209.208333333328</v>
      </c>
      <c r="Q938" s="11">
        <f>+(((Table1[[#This Row],[deadline]]/60)/60)/24)+DATE(1970,1,1)</f>
        <v>42216.208333333328</v>
      </c>
      <c r="R938" t="b">
        <v>0</v>
      </c>
      <c r="S938" t="b">
        <v>0</v>
      </c>
      <c r="T938" t="s">
        <v>33</v>
      </c>
      <c r="U938" t="str">
        <f>+LEFT(Table1[[#This Row],[category &amp; sub-category]],FIND("/",Table1[[#This Row],[category &amp; sub-category]])-1)</f>
        <v>theater</v>
      </c>
      <c r="V938" t="str">
        <f>+RIGHT(Table1[[#This Row],[category &amp; sub-category]],LEN(Table1[[#This Row],[category &amp; sub-category]])-SEARCH("/",Table1[[#This Row],[category &amp; sub-category]]))</f>
        <v>plays</v>
      </c>
    </row>
    <row r="939" spans="2:22" ht="15.75" customHeight="1" x14ac:dyDescent="0.25">
      <c r="B939">
        <v>936</v>
      </c>
      <c r="C939" t="s">
        <v>1246</v>
      </c>
      <c r="D939" s="3" t="s">
        <v>1904</v>
      </c>
      <c r="E939" s="6">
        <v>103200</v>
      </c>
      <c r="F939" s="6">
        <v>1690</v>
      </c>
      <c r="G939" s="17">
        <f>ROUND(Table1[[#This Row],[pledged]]/Table1[[#This Row],[goal]]*100,2)</f>
        <v>1.64</v>
      </c>
      <c r="H939" s="5">
        <f>+Table1[[#This Row],[pledged]]/Table1[[#This Row],[goal]]</f>
        <v>1.6375968992248063E-2</v>
      </c>
      <c r="I939" t="s">
        <v>14</v>
      </c>
      <c r="J939">
        <v>21</v>
      </c>
      <c r="K939" s="8">
        <f>IFERROR(Table1[[#This Row],[pledged]]/Table1[[#This Row],[backers_count]],"NA")</f>
        <v>80.476190476190482</v>
      </c>
      <c r="L939" t="s">
        <v>21</v>
      </c>
      <c r="M939" t="s">
        <v>22</v>
      </c>
      <c r="N939">
        <v>1563771600</v>
      </c>
      <c r="O939">
        <v>1564030800</v>
      </c>
      <c r="P939" s="11">
        <f>+(((Table1[[#This Row],[launched_at]]/60)/60)/24)+DATE(1970,1,1)</f>
        <v>43668.208333333328</v>
      </c>
      <c r="Q939" s="11">
        <f>+(((Table1[[#This Row],[deadline]]/60)/60)/24)+DATE(1970,1,1)</f>
        <v>43671.208333333328</v>
      </c>
      <c r="R939" t="b">
        <v>1</v>
      </c>
      <c r="S939" t="b">
        <v>0</v>
      </c>
      <c r="T939" t="s">
        <v>33</v>
      </c>
      <c r="U939" t="str">
        <f>+LEFT(Table1[[#This Row],[category &amp; sub-category]],FIND("/",Table1[[#This Row],[category &amp; sub-category]])-1)</f>
        <v>theater</v>
      </c>
      <c r="V939" t="str">
        <f>+RIGHT(Table1[[#This Row],[category &amp; sub-category]],LEN(Table1[[#This Row],[category &amp; sub-category]])-SEARCH("/",Table1[[#This Row],[category &amp; sub-category]]))</f>
        <v>plays</v>
      </c>
    </row>
    <row r="940" spans="2:22" ht="15.75" customHeight="1" x14ac:dyDescent="0.25">
      <c r="B940">
        <v>937</v>
      </c>
      <c r="C940" t="s">
        <v>1905</v>
      </c>
      <c r="D940" s="3" t="s">
        <v>1906</v>
      </c>
      <c r="E940" s="6">
        <v>171000</v>
      </c>
      <c r="F940" s="6">
        <v>84891</v>
      </c>
      <c r="G940" s="17">
        <f>ROUND(Table1[[#This Row],[pledged]]/Table1[[#This Row],[goal]]*100,2)</f>
        <v>49.64</v>
      </c>
      <c r="H940" s="5">
        <f>+Table1[[#This Row],[pledged]]/Table1[[#This Row],[goal]]</f>
        <v>0.49643859649122807</v>
      </c>
      <c r="I940" t="s">
        <v>74</v>
      </c>
      <c r="J940">
        <v>976</v>
      </c>
      <c r="K940" s="8">
        <f>IFERROR(Table1[[#This Row],[pledged]]/Table1[[#This Row],[backers_count]],"NA")</f>
        <v>86.978483606557376</v>
      </c>
      <c r="L940" t="s">
        <v>21</v>
      </c>
      <c r="M940" t="s">
        <v>22</v>
      </c>
      <c r="N940">
        <v>1448517600</v>
      </c>
      <c r="O940">
        <v>1449295200</v>
      </c>
      <c r="P940" s="11">
        <f>+(((Table1[[#This Row],[launched_at]]/60)/60)/24)+DATE(1970,1,1)</f>
        <v>42334.25</v>
      </c>
      <c r="Q940" s="11">
        <f>+(((Table1[[#This Row],[deadline]]/60)/60)/24)+DATE(1970,1,1)</f>
        <v>42343.25</v>
      </c>
      <c r="R940" t="b">
        <v>0</v>
      </c>
      <c r="S940" t="b">
        <v>0</v>
      </c>
      <c r="T940" t="s">
        <v>42</v>
      </c>
      <c r="U940" t="str">
        <f>+LEFT(Table1[[#This Row],[category &amp; sub-category]],FIND("/",Table1[[#This Row],[category &amp; sub-category]])-1)</f>
        <v>film &amp; video</v>
      </c>
      <c r="V940" t="str">
        <f>+RIGHT(Table1[[#This Row],[category &amp; sub-category]],LEN(Table1[[#This Row],[category &amp; sub-category]])-SEARCH("/",Table1[[#This Row],[category &amp; sub-category]]))</f>
        <v>documentary</v>
      </c>
    </row>
    <row r="941" spans="2:22" ht="15.75" customHeight="1" x14ac:dyDescent="0.25">
      <c r="B941">
        <v>938</v>
      </c>
      <c r="C941" t="s">
        <v>1907</v>
      </c>
      <c r="D941" s="3" t="s">
        <v>1908</v>
      </c>
      <c r="E941" s="6">
        <v>9200</v>
      </c>
      <c r="F941" s="6">
        <v>10093</v>
      </c>
      <c r="G941" s="17">
        <f>ROUND(Table1[[#This Row],[pledged]]/Table1[[#This Row],[goal]]*100,2)</f>
        <v>109.71</v>
      </c>
      <c r="H941" s="5">
        <f>+Table1[[#This Row],[pledged]]/Table1[[#This Row],[goal]]</f>
        <v>1.0970652173913042</v>
      </c>
      <c r="I941" t="s">
        <v>20</v>
      </c>
      <c r="J941">
        <v>96</v>
      </c>
      <c r="K941" s="8">
        <f>IFERROR(Table1[[#This Row],[pledged]]/Table1[[#This Row],[backers_count]],"NA")</f>
        <v>105.13541666666667</v>
      </c>
      <c r="L941" t="s">
        <v>21</v>
      </c>
      <c r="M941" t="s">
        <v>22</v>
      </c>
      <c r="N941">
        <v>1528779600</v>
      </c>
      <c r="O941">
        <v>1531890000</v>
      </c>
      <c r="P941" s="11">
        <f>+(((Table1[[#This Row],[launched_at]]/60)/60)/24)+DATE(1970,1,1)</f>
        <v>43263.208333333328</v>
      </c>
      <c r="Q941" s="11">
        <f>+(((Table1[[#This Row],[deadline]]/60)/60)/24)+DATE(1970,1,1)</f>
        <v>43299.208333333328</v>
      </c>
      <c r="R941" t="b">
        <v>0</v>
      </c>
      <c r="S941" t="b">
        <v>1</v>
      </c>
      <c r="T941" t="s">
        <v>119</v>
      </c>
      <c r="U941" t="str">
        <f>+LEFT(Table1[[#This Row],[category &amp; sub-category]],FIND("/",Table1[[#This Row],[category &amp; sub-category]])-1)</f>
        <v>publishing</v>
      </c>
      <c r="V941" t="str">
        <f>+RIGHT(Table1[[#This Row],[category &amp; sub-category]],LEN(Table1[[#This Row],[category &amp; sub-category]])-SEARCH("/",Table1[[#This Row],[category &amp; sub-category]]))</f>
        <v>fiction</v>
      </c>
    </row>
    <row r="942" spans="2:22" ht="15.75" customHeight="1" x14ac:dyDescent="0.25">
      <c r="B942">
        <v>939</v>
      </c>
      <c r="C942" t="s">
        <v>1909</v>
      </c>
      <c r="D942" s="3" t="s">
        <v>1910</v>
      </c>
      <c r="E942" s="6">
        <v>7800</v>
      </c>
      <c r="F942" s="6">
        <v>3839</v>
      </c>
      <c r="G942" s="17">
        <f>ROUND(Table1[[#This Row],[pledged]]/Table1[[#This Row],[goal]]*100,2)</f>
        <v>49.22</v>
      </c>
      <c r="H942" s="5">
        <f>+Table1[[#This Row],[pledged]]/Table1[[#This Row],[goal]]</f>
        <v>0.49217948717948717</v>
      </c>
      <c r="I942" t="s">
        <v>14</v>
      </c>
      <c r="J942">
        <v>67</v>
      </c>
      <c r="K942" s="8">
        <f>IFERROR(Table1[[#This Row],[pledged]]/Table1[[#This Row],[backers_count]],"NA")</f>
        <v>57.298507462686565</v>
      </c>
      <c r="L942" t="s">
        <v>21</v>
      </c>
      <c r="M942" t="s">
        <v>22</v>
      </c>
      <c r="N942">
        <v>1304744400</v>
      </c>
      <c r="O942">
        <v>1306213200</v>
      </c>
      <c r="P942" s="11">
        <f>+(((Table1[[#This Row],[launched_at]]/60)/60)/24)+DATE(1970,1,1)</f>
        <v>40670.208333333336</v>
      </c>
      <c r="Q942" s="11">
        <f>+(((Table1[[#This Row],[deadline]]/60)/60)/24)+DATE(1970,1,1)</f>
        <v>40687.208333333336</v>
      </c>
      <c r="R942" t="b">
        <v>0</v>
      </c>
      <c r="S942" t="b">
        <v>1</v>
      </c>
      <c r="T942" t="s">
        <v>89</v>
      </c>
      <c r="U942" t="str">
        <f>+LEFT(Table1[[#This Row],[category &amp; sub-category]],FIND("/",Table1[[#This Row],[category &amp; sub-category]])-1)</f>
        <v>games</v>
      </c>
      <c r="V942" t="str">
        <f>+RIGHT(Table1[[#This Row],[category &amp; sub-category]],LEN(Table1[[#This Row],[category &amp; sub-category]])-SEARCH("/",Table1[[#This Row],[category &amp; sub-category]]))</f>
        <v>video games</v>
      </c>
    </row>
    <row r="943" spans="2:22" ht="15.75" customHeight="1" x14ac:dyDescent="0.25">
      <c r="B943">
        <v>940</v>
      </c>
      <c r="C943" t="s">
        <v>1911</v>
      </c>
      <c r="D943" s="3" t="s">
        <v>1912</v>
      </c>
      <c r="E943" s="6">
        <v>9900</v>
      </c>
      <c r="F943" s="6">
        <v>6161</v>
      </c>
      <c r="G943" s="17">
        <f>ROUND(Table1[[#This Row],[pledged]]/Table1[[#This Row],[goal]]*100,2)</f>
        <v>62.23</v>
      </c>
      <c r="H943" s="5">
        <f>+Table1[[#This Row],[pledged]]/Table1[[#This Row],[goal]]</f>
        <v>0.62232323232323228</v>
      </c>
      <c r="I943" t="s">
        <v>47</v>
      </c>
      <c r="J943">
        <v>66</v>
      </c>
      <c r="K943" s="8">
        <f>IFERROR(Table1[[#This Row],[pledged]]/Table1[[#This Row],[backers_count]],"NA")</f>
        <v>93.348484848484844</v>
      </c>
      <c r="L943" t="s">
        <v>15</v>
      </c>
      <c r="M943" t="s">
        <v>16</v>
      </c>
      <c r="N943">
        <v>1354341600</v>
      </c>
      <c r="O943">
        <v>1356242400</v>
      </c>
      <c r="P943" s="11">
        <f>+(((Table1[[#This Row],[launched_at]]/60)/60)/24)+DATE(1970,1,1)</f>
        <v>41244.25</v>
      </c>
      <c r="Q943" s="11">
        <f>+(((Table1[[#This Row],[deadline]]/60)/60)/24)+DATE(1970,1,1)</f>
        <v>41266.25</v>
      </c>
      <c r="R943" t="b">
        <v>0</v>
      </c>
      <c r="S943" t="b">
        <v>0</v>
      </c>
      <c r="T943" t="s">
        <v>28</v>
      </c>
      <c r="U943" t="str">
        <f>+LEFT(Table1[[#This Row],[category &amp; sub-category]],FIND("/",Table1[[#This Row],[category &amp; sub-category]])-1)</f>
        <v>technology</v>
      </c>
      <c r="V943" t="str">
        <f>+RIGHT(Table1[[#This Row],[category &amp; sub-category]],LEN(Table1[[#This Row],[category &amp; sub-category]])-SEARCH("/",Table1[[#This Row],[category &amp; sub-category]]))</f>
        <v>web</v>
      </c>
    </row>
    <row r="944" spans="2:22" ht="15.75" customHeight="1" x14ac:dyDescent="0.25">
      <c r="B944">
        <v>941</v>
      </c>
      <c r="C944" t="s">
        <v>1913</v>
      </c>
      <c r="D944" s="3" t="s">
        <v>1914</v>
      </c>
      <c r="E944" s="6">
        <v>43000</v>
      </c>
      <c r="F944" s="6">
        <v>5615</v>
      </c>
      <c r="G944" s="17">
        <f>ROUND(Table1[[#This Row],[pledged]]/Table1[[#This Row],[goal]]*100,2)</f>
        <v>13.06</v>
      </c>
      <c r="H944" s="5">
        <f>+Table1[[#This Row],[pledged]]/Table1[[#This Row],[goal]]</f>
        <v>0.1305813953488372</v>
      </c>
      <c r="I944" t="s">
        <v>14</v>
      </c>
      <c r="J944">
        <v>78</v>
      </c>
      <c r="K944" s="8">
        <f>IFERROR(Table1[[#This Row],[pledged]]/Table1[[#This Row],[backers_count]],"NA")</f>
        <v>71.987179487179489</v>
      </c>
      <c r="L944" t="s">
        <v>21</v>
      </c>
      <c r="M944" t="s">
        <v>22</v>
      </c>
      <c r="N944">
        <v>1294552800</v>
      </c>
      <c r="O944">
        <v>1297576800</v>
      </c>
      <c r="P944" s="11">
        <f>+(((Table1[[#This Row],[launched_at]]/60)/60)/24)+DATE(1970,1,1)</f>
        <v>40552.25</v>
      </c>
      <c r="Q944" s="11">
        <f>+(((Table1[[#This Row],[deadline]]/60)/60)/24)+DATE(1970,1,1)</f>
        <v>40587.25</v>
      </c>
      <c r="R944" t="b">
        <v>1</v>
      </c>
      <c r="S944" t="b">
        <v>0</v>
      </c>
      <c r="T944" t="s">
        <v>33</v>
      </c>
      <c r="U944" t="str">
        <f>+LEFT(Table1[[#This Row],[category &amp; sub-category]],FIND("/",Table1[[#This Row],[category &amp; sub-category]])-1)</f>
        <v>theater</v>
      </c>
      <c r="V944" t="str">
        <f>+RIGHT(Table1[[#This Row],[category &amp; sub-category]],LEN(Table1[[#This Row],[category &amp; sub-category]])-SEARCH("/",Table1[[#This Row],[category &amp; sub-category]]))</f>
        <v>plays</v>
      </c>
    </row>
    <row r="945" spans="2:22" ht="15.75" customHeight="1" x14ac:dyDescent="0.25">
      <c r="B945">
        <v>942</v>
      </c>
      <c r="C945" t="s">
        <v>1907</v>
      </c>
      <c r="D945" s="3" t="s">
        <v>1915</v>
      </c>
      <c r="E945" s="6">
        <v>9600</v>
      </c>
      <c r="F945" s="6">
        <v>6205</v>
      </c>
      <c r="G945" s="17">
        <f>ROUND(Table1[[#This Row],[pledged]]/Table1[[#This Row],[goal]]*100,2)</f>
        <v>64.64</v>
      </c>
      <c r="H945" s="5">
        <f>+Table1[[#This Row],[pledged]]/Table1[[#This Row],[goal]]</f>
        <v>0.64635416666666667</v>
      </c>
      <c r="I945" t="s">
        <v>14</v>
      </c>
      <c r="J945">
        <v>67</v>
      </c>
      <c r="K945" s="8">
        <f>IFERROR(Table1[[#This Row],[pledged]]/Table1[[#This Row],[backers_count]],"NA")</f>
        <v>92.611940298507463</v>
      </c>
      <c r="L945" t="s">
        <v>26</v>
      </c>
      <c r="M945" t="s">
        <v>27</v>
      </c>
      <c r="N945">
        <v>1295935200</v>
      </c>
      <c r="O945">
        <v>1296194400</v>
      </c>
      <c r="P945" s="11">
        <f>+(((Table1[[#This Row],[launched_at]]/60)/60)/24)+DATE(1970,1,1)</f>
        <v>40568.25</v>
      </c>
      <c r="Q945" s="11">
        <f>+(((Table1[[#This Row],[deadline]]/60)/60)/24)+DATE(1970,1,1)</f>
        <v>40571.25</v>
      </c>
      <c r="R945" t="b">
        <v>0</v>
      </c>
      <c r="S945" t="b">
        <v>0</v>
      </c>
      <c r="T945" t="s">
        <v>33</v>
      </c>
      <c r="U945" t="str">
        <f>+LEFT(Table1[[#This Row],[category &amp; sub-category]],FIND("/",Table1[[#This Row],[category &amp; sub-category]])-1)</f>
        <v>theater</v>
      </c>
      <c r="V945" t="str">
        <f>+RIGHT(Table1[[#This Row],[category &amp; sub-category]],LEN(Table1[[#This Row],[category &amp; sub-category]])-SEARCH("/",Table1[[#This Row],[category &amp; sub-category]]))</f>
        <v>plays</v>
      </c>
    </row>
    <row r="946" spans="2:22" ht="15.75" customHeight="1" x14ac:dyDescent="0.25">
      <c r="B946">
        <v>943</v>
      </c>
      <c r="C946" t="s">
        <v>1916</v>
      </c>
      <c r="D946" s="3" t="s">
        <v>1917</v>
      </c>
      <c r="E946" s="6">
        <v>7500</v>
      </c>
      <c r="F946" s="6">
        <v>11969</v>
      </c>
      <c r="G946" s="17">
        <f>ROUND(Table1[[#This Row],[pledged]]/Table1[[#This Row],[goal]]*100,2)</f>
        <v>159.59</v>
      </c>
      <c r="H946" s="5">
        <f>+Table1[[#This Row],[pledged]]/Table1[[#This Row],[goal]]</f>
        <v>1.5958666666666668</v>
      </c>
      <c r="I946" t="s">
        <v>20</v>
      </c>
      <c r="J946">
        <v>114</v>
      </c>
      <c r="K946" s="8">
        <f>IFERROR(Table1[[#This Row],[pledged]]/Table1[[#This Row],[backers_count]],"NA")</f>
        <v>104.99122807017544</v>
      </c>
      <c r="L946" t="s">
        <v>21</v>
      </c>
      <c r="M946" t="s">
        <v>22</v>
      </c>
      <c r="N946">
        <v>1411534800</v>
      </c>
      <c r="O946">
        <v>1414558800</v>
      </c>
      <c r="P946" s="11">
        <f>+(((Table1[[#This Row],[launched_at]]/60)/60)/24)+DATE(1970,1,1)</f>
        <v>41906.208333333336</v>
      </c>
      <c r="Q946" s="11">
        <f>+(((Table1[[#This Row],[deadline]]/60)/60)/24)+DATE(1970,1,1)</f>
        <v>41941.208333333336</v>
      </c>
      <c r="R946" t="b">
        <v>0</v>
      </c>
      <c r="S946" t="b">
        <v>0</v>
      </c>
      <c r="T946" t="s">
        <v>17</v>
      </c>
      <c r="U946" t="str">
        <f>+LEFT(Table1[[#This Row],[category &amp; sub-category]],FIND("/",Table1[[#This Row],[category &amp; sub-category]])-1)</f>
        <v>food</v>
      </c>
      <c r="V946" t="str">
        <f>+RIGHT(Table1[[#This Row],[category &amp; sub-category]],LEN(Table1[[#This Row],[category &amp; sub-category]])-SEARCH("/",Table1[[#This Row],[category &amp; sub-category]]))</f>
        <v>food trucks</v>
      </c>
    </row>
    <row r="947" spans="2:22" ht="15.75" customHeight="1" x14ac:dyDescent="0.25">
      <c r="B947">
        <v>944</v>
      </c>
      <c r="C947" t="s">
        <v>1918</v>
      </c>
      <c r="D947" s="3" t="s">
        <v>1919</v>
      </c>
      <c r="E947" s="6">
        <v>10000</v>
      </c>
      <c r="F947" s="6">
        <v>8142</v>
      </c>
      <c r="G947" s="17">
        <f>ROUND(Table1[[#This Row],[pledged]]/Table1[[#This Row],[goal]]*100,2)</f>
        <v>81.42</v>
      </c>
      <c r="H947" s="5">
        <f>+Table1[[#This Row],[pledged]]/Table1[[#This Row],[goal]]</f>
        <v>0.81420000000000003</v>
      </c>
      <c r="I947" t="s">
        <v>14</v>
      </c>
      <c r="J947">
        <v>263</v>
      </c>
      <c r="K947" s="8">
        <f>IFERROR(Table1[[#This Row],[pledged]]/Table1[[#This Row],[backers_count]],"NA")</f>
        <v>30.958174904942965</v>
      </c>
      <c r="L947" t="s">
        <v>26</v>
      </c>
      <c r="M947" t="s">
        <v>27</v>
      </c>
      <c r="N947">
        <v>1486706400</v>
      </c>
      <c r="O947">
        <v>1488348000</v>
      </c>
      <c r="P947" s="11">
        <f>+(((Table1[[#This Row],[launched_at]]/60)/60)/24)+DATE(1970,1,1)</f>
        <v>42776.25</v>
      </c>
      <c r="Q947" s="11">
        <f>+(((Table1[[#This Row],[deadline]]/60)/60)/24)+DATE(1970,1,1)</f>
        <v>42795.25</v>
      </c>
      <c r="R947" t="b">
        <v>0</v>
      </c>
      <c r="S947" t="b">
        <v>0</v>
      </c>
      <c r="T947" t="s">
        <v>122</v>
      </c>
      <c r="U947" t="str">
        <f>+LEFT(Table1[[#This Row],[category &amp; sub-category]],FIND("/",Table1[[#This Row],[category &amp; sub-category]])-1)</f>
        <v>photography</v>
      </c>
      <c r="V947" t="str">
        <f>+RIGHT(Table1[[#This Row],[category &amp; sub-category]],LEN(Table1[[#This Row],[category &amp; sub-category]])-SEARCH("/",Table1[[#This Row],[category &amp; sub-category]]))</f>
        <v>photography books</v>
      </c>
    </row>
    <row r="948" spans="2:22" ht="15.75" customHeight="1" x14ac:dyDescent="0.25">
      <c r="B948">
        <v>945</v>
      </c>
      <c r="C948" t="s">
        <v>1920</v>
      </c>
      <c r="D948" s="3" t="s">
        <v>1921</v>
      </c>
      <c r="E948" s="6">
        <v>172000</v>
      </c>
      <c r="F948" s="6">
        <v>55805</v>
      </c>
      <c r="G948" s="17">
        <f>ROUND(Table1[[#This Row],[pledged]]/Table1[[#This Row],[goal]]*100,2)</f>
        <v>32.44</v>
      </c>
      <c r="H948" s="5">
        <f>+Table1[[#This Row],[pledged]]/Table1[[#This Row],[goal]]</f>
        <v>0.32444767441860467</v>
      </c>
      <c r="I948" t="s">
        <v>14</v>
      </c>
      <c r="J948">
        <v>1691</v>
      </c>
      <c r="K948" s="8">
        <f>IFERROR(Table1[[#This Row],[pledged]]/Table1[[#This Row],[backers_count]],"NA")</f>
        <v>33.001182732111175</v>
      </c>
      <c r="L948" t="s">
        <v>21</v>
      </c>
      <c r="M948" t="s">
        <v>22</v>
      </c>
      <c r="N948">
        <v>1333602000</v>
      </c>
      <c r="O948">
        <v>1334898000</v>
      </c>
      <c r="P948" s="11">
        <f>+(((Table1[[#This Row],[launched_at]]/60)/60)/24)+DATE(1970,1,1)</f>
        <v>41004.208333333336</v>
      </c>
      <c r="Q948" s="11">
        <f>+(((Table1[[#This Row],[deadline]]/60)/60)/24)+DATE(1970,1,1)</f>
        <v>41019.208333333336</v>
      </c>
      <c r="R948" t="b">
        <v>1</v>
      </c>
      <c r="S948" t="b">
        <v>0</v>
      </c>
      <c r="T948" t="s">
        <v>122</v>
      </c>
      <c r="U948" t="str">
        <f>+LEFT(Table1[[#This Row],[category &amp; sub-category]],FIND("/",Table1[[#This Row],[category &amp; sub-category]])-1)</f>
        <v>photography</v>
      </c>
      <c r="V948" t="str">
        <f>+RIGHT(Table1[[#This Row],[category &amp; sub-category]],LEN(Table1[[#This Row],[category &amp; sub-category]])-SEARCH("/",Table1[[#This Row],[category &amp; sub-category]]))</f>
        <v>photography books</v>
      </c>
    </row>
    <row r="949" spans="2:22" ht="15.75" customHeight="1" x14ac:dyDescent="0.25">
      <c r="B949">
        <v>946</v>
      </c>
      <c r="C949" t="s">
        <v>1922</v>
      </c>
      <c r="D949" s="3" t="s">
        <v>1923</v>
      </c>
      <c r="E949" s="6">
        <v>153700</v>
      </c>
      <c r="F949" s="6">
        <v>15238</v>
      </c>
      <c r="G949" s="17">
        <f>ROUND(Table1[[#This Row],[pledged]]/Table1[[#This Row],[goal]]*100,2)</f>
        <v>9.91</v>
      </c>
      <c r="H949" s="5">
        <f>+Table1[[#This Row],[pledged]]/Table1[[#This Row],[goal]]</f>
        <v>9.9141184124918666E-2</v>
      </c>
      <c r="I949" t="s">
        <v>14</v>
      </c>
      <c r="J949">
        <v>181</v>
      </c>
      <c r="K949" s="8">
        <f>IFERROR(Table1[[#This Row],[pledged]]/Table1[[#This Row],[backers_count]],"NA")</f>
        <v>84.187845303867405</v>
      </c>
      <c r="L949" t="s">
        <v>21</v>
      </c>
      <c r="M949" t="s">
        <v>22</v>
      </c>
      <c r="N949">
        <v>1308200400</v>
      </c>
      <c r="O949">
        <v>1308373200</v>
      </c>
      <c r="P949" s="11">
        <f>+(((Table1[[#This Row],[launched_at]]/60)/60)/24)+DATE(1970,1,1)</f>
        <v>40710.208333333336</v>
      </c>
      <c r="Q949" s="11">
        <f>+(((Table1[[#This Row],[deadline]]/60)/60)/24)+DATE(1970,1,1)</f>
        <v>40712.208333333336</v>
      </c>
      <c r="R949" t="b">
        <v>0</v>
      </c>
      <c r="S949" t="b">
        <v>0</v>
      </c>
      <c r="T949" t="s">
        <v>33</v>
      </c>
      <c r="U949" t="str">
        <f>+LEFT(Table1[[#This Row],[category &amp; sub-category]],FIND("/",Table1[[#This Row],[category &amp; sub-category]])-1)</f>
        <v>theater</v>
      </c>
      <c r="V949" t="str">
        <f>+RIGHT(Table1[[#This Row],[category &amp; sub-category]],LEN(Table1[[#This Row],[category &amp; sub-category]])-SEARCH("/",Table1[[#This Row],[category &amp; sub-category]]))</f>
        <v>plays</v>
      </c>
    </row>
    <row r="950" spans="2:22" ht="15.75" customHeight="1" x14ac:dyDescent="0.25">
      <c r="B950">
        <v>947</v>
      </c>
      <c r="C950" t="s">
        <v>1924</v>
      </c>
      <c r="D950" s="3" t="s">
        <v>1925</v>
      </c>
      <c r="E950" s="6">
        <v>3600</v>
      </c>
      <c r="F950" s="6">
        <v>961</v>
      </c>
      <c r="G950" s="17">
        <f>ROUND(Table1[[#This Row],[pledged]]/Table1[[#This Row],[goal]]*100,2)</f>
        <v>26.69</v>
      </c>
      <c r="H950" s="5">
        <f>+Table1[[#This Row],[pledged]]/Table1[[#This Row],[goal]]</f>
        <v>0.26694444444444443</v>
      </c>
      <c r="I950" t="s">
        <v>14</v>
      </c>
      <c r="J950">
        <v>13</v>
      </c>
      <c r="K950" s="8">
        <f>IFERROR(Table1[[#This Row],[pledged]]/Table1[[#This Row],[backers_count]],"NA")</f>
        <v>73.92307692307692</v>
      </c>
      <c r="L950" t="s">
        <v>21</v>
      </c>
      <c r="M950" t="s">
        <v>22</v>
      </c>
      <c r="N950">
        <v>1411707600</v>
      </c>
      <c r="O950">
        <v>1412312400</v>
      </c>
      <c r="P950" s="11">
        <f>+(((Table1[[#This Row],[launched_at]]/60)/60)/24)+DATE(1970,1,1)</f>
        <v>41908.208333333336</v>
      </c>
      <c r="Q950" s="11">
        <f>+(((Table1[[#This Row],[deadline]]/60)/60)/24)+DATE(1970,1,1)</f>
        <v>41915.208333333336</v>
      </c>
      <c r="R950" t="b">
        <v>0</v>
      </c>
      <c r="S950" t="b">
        <v>0</v>
      </c>
      <c r="T950" t="s">
        <v>33</v>
      </c>
      <c r="U950" t="str">
        <f>+LEFT(Table1[[#This Row],[category &amp; sub-category]],FIND("/",Table1[[#This Row],[category &amp; sub-category]])-1)</f>
        <v>theater</v>
      </c>
      <c r="V950" t="str">
        <f>+RIGHT(Table1[[#This Row],[category &amp; sub-category]],LEN(Table1[[#This Row],[category &amp; sub-category]])-SEARCH("/",Table1[[#This Row],[category &amp; sub-category]]))</f>
        <v>plays</v>
      </c>
    </row>
    <row r="951" spans="2:22" ht="15.75" customHeight="1" x14ac:dyDescent="0.25">
      <c r="B951">
        <v>948</v>
      </c>
      <c r="C951" t="s">
        <v>1926</v>
      </c>
      <c r="D951" s="3" t="s">
        <v>1927</v>
      </c>
      <c r="E951" s="6">
        <v>9400</v>
      </c>
      <c r="F951" s="6">
        <v>5918</v>
      </c>
      <c r="G951" s="17">
        <f>ROUND(Table1[[#This Row],[pledged]]/Table1[[#This Row],[goal]]*100,2)</f>
        <v>62.96</v>
      </c>
      <c r="H951" s="5">
        <f>+Table1[[#This Row],[pledged]]/Table1[[#This Row],[goal]]</f>
        <v>0.62957446808510642</v>
      </c>
      <c r="I951" t="s">
        <v>74</v>
      </c>
      <c r="J951">
        <v>160</v>
      </c>
      <c r="K951" s="8">
        <f>IFERROR(Table1[[#This Row],[pledged]]/Table1[[#This Row],[backers_count]],"NA")</f>
        <v>36.987499999999997</v>
      </c>
      <c r="L951" t="s">
        <v>21</v>
      </c>
      <c r="M951" t="s">
        <v>22</v>
      </c>
      <c r="N951">
        <v>1418364000</v>
      </c>
      <c r="O951">
        <v>1419228000</v>
      </c>
      <c r="P951" s="11">
        <f>+(((Table1[[#This Row],[launched_at]]/60)/60)/24)+DATE(1970,1,1)</f>
        <v>41985.25</v>
      </c>
      <c r="Q951" s="11">
        <f>+(((Table1[[#This Row],[deadline]]/60)/60)/24)+DATE(1970,1,1)</f>
        <v>41995.25</v>
      </c>
      <c r="R951" t="b">
        <v>1</v>
      </c>
      <c r="S951" t="b">
        <v>1</v>
      </c>
      <c r="T951" t="s">
        <v>42</v>
      </c>
      <c r="U951" t="str">
        <f>+LEFT(Table1[[#This Row],[category &amp; sub-category]],FIND("/",Table1[[#This Row],[category &amp; sub-category]])-1)</f>
        <v>film &amp; video</v>
      </c>
      <c r="V951" t="str">
        <f>+RIGHT(Table1[[#This Row],[category &amp; sub-category]],LEN(Table1[[#This Row],[category &amp; sub-category]])-SEARCH("/",Table1[[#This Row],[category &amp; sub-category]]))</f>
        <v>documentary</v>
      </c>
    </row>
    <row r="952" spans="2:22" ht="15.75" customHeight="1" x14ac:dyDescent="0.25">
      <c r="B952">
        <v>949</v>
      </c>
      <c r="C952" t="s">
        <v>1928</v>
      </c>
      <c r="D952" s="3" t="s">
        <v>1929</v>
      </c>
      <c r="E952" s="6">
        <v>5900</v>
      </c>
      <c r="F952" s="6">
        <v>9520</v>
      </c>
      <c r="G952" s="17">
        <f>ROUND(Table1[[#This Row],[pledged]]/Table1[[#This Row],[goal]]*100,2)</f>
        <v>161.36000000000001</v>
      </c>
      <c r="H952" s="5">
        <f>+Table1[[#This Row],[pledged]]/Table1[[#This Row],[goal]]</f>
        <v>1.6135593220338984</v>
      </c>
      <c r="I952" t="s">
        <v>20</v>
      </c>
      <c r="J952">
        <v>203</v>
      </c>
      <c r="K952" s="8">
        <f>IFERROR(Table1[[#This Row],[pledged]]/Table1[[#This Row],[backers_count]],"NA")</f>
        <v>46.896551724137929</v>
      </c>
      <c r="L952" t="s">
        <v>21</v>
      </c>
      <c r="M952" t="s">
        <v>22</v>
      </c>
      <c r="N952">
        <v>1429333200</v>
      </c>
      <c r="O952">
        <v>1430974800</v>
      </c>
      <c r="P952" s="11">
        <f>+(((Table1[[#This Row],[launched_at]]/60)/60)/24)+DATE(1970,1,1)</f>
        <v>42112.208333333328</v>
      </c>
      <c r="Q952" s="11">
        <f>+(((Table1[[#This Row],[deadline]]/60)/60)/24)+DATE(1970,1,1)</f>
        <v>42131.208333333328</v>
      </c>
      <c r="R952" t="b">
        <v>0</v>
      </c>
      <c r="S952" t="b">
        <v>0</v>
      </c>
      <c r="T952" t="s">
        <v>28</v>
      </c>
      <c r="U952" t="str">
        <f>+LEFT(Table1[[#This Row],[category &amp; sub-category]],FIND("/",Table1[[#This Row],[category &amp; sub-category]])-1)</f>
        <v>technology</v>
      </c>
      <c r="V952" t="str">
        <f>+RIGHT(Table1[[#This Row],[category &amp; sub-category]],LEN(Table1[[#This Row],[category &amp; sub-category]])-SEARCH("/",Table1[[#This Row],[category &amp; sub-category]]))</f>
        <v>web</v>
      </c>
    </row>
    <row r="953" spans="2:22" ht="15.75" customHeight="1" x14ac:dyDescent="0.25">
      <c r="B953">
        <v>950</v>
      </c>
      <c r="C953" t="s">
        <v>1930</v>
      </c>
      <c r="D953" s="3" t="s">
        <v>1931</v>
      </c>
      <c r="E953" s="6">
        <v>100</v>
      </c>
      <c r="F953" s="6">
        <v>5</v>
      </c>
      <c r="G953" s="17">
        <f>ROUND(Table1[[#This Row],[pledged]]/Table1[[#This Row],[goal]]*100,2)</f>
        <v>5</v>
      </c>
      <c r="H953" s="5">
        <f>+Table1[[#This Row],[pledged]]/Table1[[#This Row],[goal]]</f>
        <v>0.05</v>
      </c>
      <c r="I953" t="s">
        <v>14</v>
      </c>
      <c r="J953">
        <v>1</v>
      </c>
      <c r="K953" s="8">
        <f>IFERROR(Table1[[#This Row],[pledged]]/Table1[[#This Row],[backers_count]],"NA")</f>
        <v>5</v>
      </c>
      <c r="L953" t="s">
        <v>21</v>
      </c>
      <c r="M953" t="s">
        <v>22</v>
      </c>
      <c r="N953">
        <v>1555390800</v>
      </c>
      <c r="O953">
        <v>1555822800</v>
      </c>
      <c r="P953" s="11">
        <f>+(((Table1[[#This Row],[launched_at]]/60)/60)/24)+DATE(1970,1,1)</f>
        <v>43571.208333333328</v>
      </c>
      <c r="Q953" s="11">
        <f>+(((Table1[[#This Row],[deadline]]/60)/60)/24)+DATE(1970,1,1)</f>
        <v>43576.208333333328</v>
      </c>
      <c r="R953" t="b">
        <v>0</v>
      </c>
      <c r="S953" t="b">
        <v>1</v>
      </c>
      <c r="T953" t="s">
        <v>33</v>
      </c>
      <c r="U953" t="str">
        <f>+LEFT(Table1[[#This Row],[category &amp; sub-category]],FIND("/",Table1[[#This Row],[category &amp; sub-category]])-1)</f>
        <v>theater</v>
      </c>
      <c r="V953" t="str">
        <f>+RIGHT(Table1[[#This Row],[category &amp; sub-category]],LEN(Table1[[#This Row],[category &amp; sub-category]])-SEARCH("/",Table1[[#This Row],[category &amp; sub-category]]))</f>
        <v>plays</v>
      </c>
    </row>
    <row r="954" spans="2:22" ht="15.75" customHeight="1" x14ac:dyDescent="0.25">
      <c r="B954">
        <v>951</v>
      </c>
      <c r="C954" t="s">
        <v>1932</v>
      </c>
      <c r="D954" s="3" t="s">
        <v>1933</v>
      </c>
      <c r="E954" s="6">
        <v>14500</v>
      </c>
      <c r="F954" s="6">
        <v>159056</v>
      </c>
      <c r="G954" s="17">
        <f>ROUND(Table1[[#This Row],[pledged]]/Table1[[#This Row],[goal]]*100,2)</f>
        <v>1096.94</v>
      </c>
      <c r="H954" s="5">
        <f>+Table1[[#This Row],[pledged]]/Table1[[#This Row],[goal]]</f>
        <v>10.969379310344827</v>
      </c>
      <c r="I954" t="s">
        <v>20</v>
      </c>
      <c r="J954">
        <v>1559</v>
      </c>
      <c r="K954" s="8">
        <f>IFERROR(Table1[[#This Row],[pledged]]/Table1[[#This Row],[backers_count]],"NA")</f>
        <v>102.02437459910199</v>
      </c>
      <c r="L954" t="s">
        <v>21</v>
      </c>
      <c r="M954" t="s">
        <v>22</v>
      </c>
      <c r="N954">
        <v>1482732000</v>
      </c>
      <c r="O954">
        <v>1482818400</v>
      </c>
      <c r="P954" s="11">
        <f>+(((Table1[[#This Row],[launched_at]]/60)/60)/24)+DATE(1970,1,1)</f>
        <v>42730.25</v>
      </c>
      <c r="Q954" s="11">
        <f>+(((Table1[[#This Row],[deadline]]/60)/60)/24)+DATE(1970,1,1)</f>
        <v>42731.25</v>
      </c>
      <c r="R954" t="b">
        <v>0</v>
      </c>
      <c r="S954" t="b">
        <v>1</v>
      </c>
      <c r="T954" t="s">
        <v>23</v>
      </c>
      <c r="U954" t="str">
        <f>+LEFT(Table1[[#This Row],[category &amp; sub-category]],FIND("/",Table1[[#This Row],[category &amp; sub-category]])-1)</f>
        <v>music</v>
      </c>
      <c r="V954" t="str">
        <f>+RIGHT(Table1[[#This Row],[category &amp; sub-category]],LEN(Table1[[#This Row],[category &amp; sub-category]])-SEARCH("/",Table1[[#This Row],[category &amp; sub-category]]))</f>
        <v>rock</v>
      </c>
    </row>
    <row r="955" spans="2:22" ht="15.75" customHeight="1" x14ac:dyDescent="0.25">
      <c r="B955">
        <v>952</v>
      </c>
      <c r="C955" t="s">
        <v>1934</v>
      </c>
      <c r="D955" s="3" t="s">
        <v>1935</v>
      </c>
      <c r="E955" s="6">
        <v>145500</v>
      </c>
      <c r="F955" s="6">
        <v>101987</v>
      </c>
      <c r="G955" s="17">
        <f>ROUND(Table1[[#This Row],[pledged]]/Table1[[#This Row],[goal]]*100,2)</f>
        <v>70.09</v>
      </c>
      <c r="H955" s="5">
        <f>+Table1[[#This Row],[pledged]]/Table1[[#This Row],[goal]]</f>
        <v>0.70094158075601376</v>
      </c>
      <c r="I955" t="s">
        <v>74</v>
      </c>
      <c r="J955">
        <v>2266</v>
      </c>
      <c r="K955" s="8">
        <f>IFERROR(Table1[[#This Row],[pledged]]/Table1[[#This Row],[backers_count]],"NA")</f>
        <v>45.007502206531335</v>
      </c>
      <c r="L955" t="s">
        <v>21</v>
      </c>
      <c r="M955" t="s">
        <v>22</v>
      </c>
      <c r="N955">
        <v>1470718800</v>
      </c>
      <c r="O955">
        <v>1471928400</v>
      </c>
      <c r="P955" s="11">
        <f>+(((Table1[[#This Row],[launched_at]]/60)/60)/24)+DATE(1970,1,1)</f>
        <v>42591.208333333328</v>
      </c>
      <c r="Q955" s="11">
        <f>+(((Table1[[#This Row],[deadline]]/60)/60)/24)+DATE(1970,1,1)</f>
        <v>42605.208333333328</v>
      </c>
      <c r="R955" t="b">
        <v>0</v>
      </c>
      <c r="S955" t="b">
        <v>0</v>
      </c>
      <c r="T955" t="s">
        <v>42</v>
      </c>
      <c r="U955" t="str">
        <f>+LEFT(Table1[[#This Row],[category &amp; sub-category]],FIND("/",Table1[[#This Row],[category &amp; sub-category]])-1)</f>
        <v>film &amp; video</v>
      </c>
      <c r="V955" t="str">
        <f>+RIGHT(Table1[[#This Row],[category &amp; sub-category]],LEN(Table1[[#This Row],[category &amp; sub-category]])-SEARCH("/",Table1[[#This Row],[category &amp; sub-category]]))</f>
        <v>documentary</v>
      </c>
    </row>
    <row r="956" spans="2:22" ht="15.75" customHeight="1" x14ac:dyDescent="0.25">
      <c r="B956">
        <v>953</v>
      </c>
      <c r="C956" t="s">
        <v>1936</v>
      </c>
      <c r="D956" s="3" t="s">
        <v>1937</v>
      </c>
      <c r="E956" s="6">
        <v>3300</v>
      </c>
      <c r="F956" s="6">
        <v>1980</v>
      </c>
      <c r="G956" s="17">
        <f>ROUND(Table1[[#This Row],[pledged]]/Table1[[#This Row],[goal]]*100,2)</f>
        <v>60</v>
      </c>
      <c r="H956" s="5">
        <f>+Table1[[#This Row],[pledged]]/Table1[[#This Row],[goal]]</f>
        <v>0.6</v>
      </c>
      <c r="I956" t="s">
        <v>14</v>
      </c>
      <c r="J956">
        <v>21</v>
      </c>
      <c r="K956" s="8">
        <f>IFERROR(Table1[[#This Row],[pledged]]/Table1[[#This Row],[backers_count]],"NA")</f>
        <v>94.285714285714292</v>
      </c>
      <c r="L956" t="s">
        <v>21</v>
      </c>
      <c r="M956" t="s">
        <v>22</v>
      </c>
      <c r="N956">
        <v>1450591200</v>
      </c>
      <c r="O956">
        <v>1453701600</v>
      </c>
      <c r="P956" s="11">
        <f>+(((Table1[[#This Row],[launched_at]]/60)/60)/24)+DATE(1970,1,1)</f>
        <v>42358.25</v>
      </c>
      <c r="Q956" s="11">
        <f>+(((Table1[[#This Row],[deadline]]/60)/60)/24)+DATE(1970,1,1)</f>
        <v>42394.25</v>
      </c>
      <c r="R956" t="b">
        <v>0</v>
      </c>
      <c r="S956" t="b">
        <v>1</v>
      </c>
      <c r="T956" t="s">
        <v>474</v>
      </c>
      <c r="U956" t="str">
        <f>+LEFT(Table1[[#This Row],[category &amp; sub-category]],FIND("/",Table1[[#This Row],[category &amp; sub-category]])-1)</f>
        <v>film &amp; video</v>
      </c>
      <c r="V956" t="str">
        <f>+RIGHT(Table1[[#This Row],[category &amp; sub-category]],LEN(Table1[[#This Row],[category &amp; sub-category]])-SEARCH("/",Table1[[#This Row],[category &amp; sub-category]]))</f>
        <v>science fiction</v>
      </c>
    </row>
    <row r="957" spans="2:22" ht="15.75" customHeight="1" x14ac:dyDescent="0.25">
      <c r="B957">
        <v>954</v>
      </c>
      <c r="C957" t="s">
        <v>1938</v>
      </c>
      <c r="D957" s="3" t="s">
        <v>1939</v>
      </c>
      <c r="E957" s="6">
        <v>42600</v>
      </c>
      <c r="F957" s="6">
        <v>156384</v>
      </c>
      <c r="G957" s="17">
        <f>ROUND(Table1[[#This Row],[pledged]]/Table1[[#This Row],[goal]]*100,2)</f>
        <v>367.1</v>
      </c>
      <c r="H957" s="5">
        <f>+Table1[[#This Row],[pledged]]/Table1[[#This Row],[goal]]</f>
        <v>3.6709859154929578</v>
      </c>
      <c r="I957" t="s">
        <v>20</v>
      </c>
      <c r="J957">
        <v>1548</v>
      </c>
      <c r="K957" s="8">
        <f>IFERROR(Table1[[#This Row],[pledged]]/Table1[[#This Row],[backers_count]],"NA")</f>
        <v>101.02325581395348</v>
      </c>
      <c r="L957" t="s">
        <v>26</v>
      </c>
      <c r="M957" t="s">
        <v>27</v>
      </c>
      <c r="N957">
        <v>1348290000</v>
      </c>
      <c r="O957">
        <v>1350363600</v>
      </c>
      <c r="P957" s="11">
        <f>+(((Table1[[#This Row],[launched_at]]/60)/60)/24)+DATE(1970,1,1)</f>
        <v>41174.208333333336</v>
      </c>
      <c r="Q957" s="11">
        <f>+(((Table1[[#This Row],[deadline]]/60)/60)/24)+DATE(1970,1,1)</f>
        <v>41198.208333333336</v>
      </c>
      <c r="R957" t="b">
        <v>0</v>
      </c>
      <c r="S957" t="b">
        <v>0</v>
      </c>
      <c r="T957" t="s">
        <v>28</v>
      </c>
      <c r="U957" t="str">
        <f>+LEFT(Table1[[#This Row],[category &amp; sub-category]],FIND("/",Table1[[#This Row],[category &amp; sub-category]])-1)</f>
        <v>technology</v>
      </c>
      <c r="V957" t="str">
        <f>+RIGHT(Table1[[#This Row],[category &amp; sub-category]],LEN(Table1[[#This Row],[category &amp; sub-category]])-SEARCH("/",Table1[[#This Row],[category &amp; sub-category]]))</f>
        <v>web</v>
      </c>
    </row>
    <row r="958" spans="2:22" ht="15.75" customHeight="1" x14ac:dyDescent="0.25">
      <c r="B958">
        <v>955</v>
      </c>
      <c r="C958" t="s">
        <v>1940</v>
      </c>
      <c r="D958" s="3" t="s">
        <v>1941</v>
      </c>
      <c r="E958" s="6">
        <v>700</v>
      </c>
      <c r="F958" s="6">
        <v>7763</v>
      </c>
      <c r="G958" s="17">
        <f>ROUND(Table1[[#This Row],[pledged]]/Table1[[#This Row],[goal]]*100,2)</f>
        <v>1109</v>
      </c>
      <c r="H958" s="5">
        <f>+Table1[[#This Row],[pledged]]/Table1[[#This Row],[goal]]</f>
        <v>11.09</v>
      </c>
      <c r="I958" t="s">
        <v>20</v>
      </c>
      <c r="J958">
        <v>80</v>
      </c>
      <c r="K958" s="8">
        <f>IFERROR(Table1[[#This Row],[pledged]]/Table1[[#This Row],[backers_count]],"NA")</f>
        <v>97.037499999999994</v>
      </c>
      <c r="L958" t="s">
        <v>21</v>
      </c>
      <c r="M958" t="s">
        <v>22</v>
      </c>
      <c r="N958">
        <v>1353823200</v>
      </c>
      <c r="O958">
        <v>1353996000</v>
      </c>
      <c r="P958" s="11">
        <f>+(((Table1[[#This Row],[launched_at]]/60)/60)/24)+DATE(1970,1,1)</f>
        <v>41238.25</v>
      </c>
      <c r="Q958" s="11">
        <f>+(((Table1[[#This Row],[deadline]]/60)/60)/24)+DATE(1970,1,1)</f>
        <v>41240.25</v>
      </c>
      <c r="R958" t="b">
        <v>0</v>
      </c>
      <c r="S958" t="b">
        <v>0</v>
      </c>
      <c r="T958" t="s">
        <v>33</v>
      </c>
      <c r="U958" t="str">
        <f>+LEFT(Table1[[#This Row],[category &amp; sub-category]],FIND("/",Table1[[#This Row],[category &amp; sub-category]])-1)</f>
        <v>theater</v>
      </c>
      <c r="V958" t="str">
        <f>+RIGHT(Table1[[#This Row],[category &amp; sub-category]],LEN(Table1[[#This Row],[category &amp; sub-category]])-SEARCH("/",Table1[[#This Row],[category &amp; sub-category]]))</f>
        <v>plays</v>
      </c>
    </row>
    <row r="959" spans="2:22" ht="15.75" customHeight="1" x14ac:dyDescent="0.25">
      <c r="B959">
        <v>956</v>
      </c>
      <c r="C959" t="s">
        <v>1942</v>
      </c>
      <c r="D959" s="3" t="s">
        <v>1943</v>
      </c>
      <c r="E959" s="6">
        <v>187600</v>
      </c>
      <c r="F959" s="6">
        <v>35698</v>
      </c>
      <c r="G959" s="17">
        <f>ROUND(Table1[[#This Row],[pledged]]/Table1[[#This Row],[goal]]*100,2)</f>
        <v>19.03</v>
      </c>
      <c r="H959" s="5">
        <f>+Table1[[#This Row],[pledged]]/Table1[[#This Row],[goal]]</f>
        <v>0.19028784648187633</v>
      </c>
      <c r="I959" t="s">
        <v>14</v>
      </c>
      <c r="J959">
        <v>830</v>
      </c>
      <c r="K959" s="8">
        <f>IFERROR(Table1[[#This Row],[pledged]]/Table1[[#This Row],[backers_count]],"NA")</f>
        <v>43.00963855421687</v>
      </c>
      <c r="L959" t="s">
        <v>21</v>
      </c>
      <c r="M959" t="s">
        <v>22</v>
      </c>
      <c r="N959">
        <v>1450764000</v>
      </c>
      <c r="O959">
        <v>1451109600</v>
      </c>
      <c r="P959" s="11">
        <f>+(((Table1[[#This Row],[launched_at]]/60)/60)/24)+DATE(1970,1,1)</f>
        <v>42360.25</v>
      </c>
      <c r="Q959" s="11">
        <f>+(((Table1[[#This Row],[deadline]]/60)/60)/24)+DATE(1970,1,1)</f>
        <v>42364.25</v>
      </c>
      <c r="R959" t="b">
        <v>0</v>
      </c>
      <c r="S959" t="b">
        <v>0</v>
      </c>
      <c r="T959" t="s">
        <v>474</v>
      </c>
      <c r="U959" t="str">
        <f>+LEFT(Table1[[#This Row],[category &amp; sub-category]],FIND("/",Table1[[#This Row],[category &amp; sub-category]])-1)</f>
        <v>film &amp; video</v>
      </c>
      <c r="V959" t="str">
        <f>+RIGHT(Table1[[#This Row],[category &amp; sub-category]],LEN(Table1[[#This Row],[category &amp; sub-category]])-SEARCH("/",Table1[[#This Row],[category &amp; sub-category]]))</f>
        <v>science fiction</v>
      </c>
    </row>
    <row r="960" spans="2:22" ht="15.75" customHeight="1" x14ac:dyDescent="0.25">
      <c r="B960">
        <v>957</v>
      </c>
      <c r="C960" t="s">
        <v>1944</v>
      </c>
      <c r="D960" s="3" t="s">
        <v>1945</v>
      </c>
      <c r="E960" s="6">
        <v>9800</v>
      </c>
      <c r="F960" s="6">
        <v>12434</v>
      </c>
      <c r="G960" s="17">
        <f>ROUND(Table1[[#This Row],[pledged]]/Table1[[#This Row],[goal]]*100,2)</f>
        <v>126.88</v>
      </c>
      <c r="H960" s="5">
        <f>+Table1[[#This Row],[pledged]]/Table1[[#This Row],[goal]]</f>
        <v>1.2687755102040816</v>
      </c>
      <c r="I960" t="s">
        <v>20</v>
      </c>
      <c r="J960">
        <v>131</v>
      </c>
      <c r="K960" s="8">
        <f>IFERROR(Table1[[#This Row],[pledged]]/Table1[[#This Row],[backers_count]],"NA")</f>
        <v>94.916030534351151</v>
      </c>
      <c r="L960" t="s">
        <v>21</v>
      </c>
      <c r="M960" t="s">
        <v>22</v>
      </c>
      <c r="N960">
        <v>1329372000</v>
      </c>
      <c r="O960">
        <v>1329631200</v>
      </c>
      <c r="P960" s="11">
        <f>+(((Table1[[#This Row],[launched_at]]/60)/60)/24)+DATE(1970,1,1)</f>
        <v>40955.25</v>
      </c>
      <c r="Q960" s="11">
        <f>+(((Table1[[#This Row],[deadline]]/60)/60)/24)+DATE(1970,1,1)</f>
        <v>40958.25</v>
      </c>
      <c r="R960" t="b">
        <v>0</v>
      </c>
      <c r="S960" t="b">
        <v>0</v>
      </c>
      <c r="T960" t="s">
        <v>33</v>
      </c>
      <c r="U960" t="str">
        <f>+LEFT(Table1[[#This Row],[category &amp; sub-category]],FIND("/",Table1[[#This Row],[category &amp; sub-category]])-1)</f>
        <v>theater</v>
      </c>
      <c r="V960" t="str">
        <f>+RIGHT(Table1[[#This Row],[category &amp; sub-category]],LEN(Table1[[#This Row],[category &amp; sub-category]])-SEARCH("/",Table1[[#This Row],[category &amp; sub-category]]))</f>
        <v>plays</v>
      </c>
    </row>
    <row r="961" spans="2:22" ht="15.75" customHeight="1" x14ac:dyDescent="0.25">
      <c r="B961">
        <v>958</v>
      </c>
      <c r="C961" t="s">
        <v>1946</v>
      </c>
      <c r="D961" s="3" t="s">
        <v>1947</v>
      </c>
      <c r="E961" s="6">
        <v>1100</v>
      </c>
      <c r="F961" s="6">
        <v>8081</v>
      </c>
      <c r="G961" s="17">
        <f>ROUND(Table1[[#This Row],[pledged]]/Table1[[#This Row],[goal]]*100,2)</f>
        <v>734.64</v>
      </c>
      <c r="H961" s="5">
        <f>+Table1[[#This Row],[pledged]]/Table1[[#This Row],[goal]]</f>
        <v>7.3463636363636367</v>
      </c>
      <c r="I961" t="s">
        <v>20</v>
      </c>
      <c r="J961">
        <v>112</v>
      </c>
      <c r="K961" s="8">
        <f>IFERROR(Table1[[#This Row],[pledged]]/Table1[[#This Row],[backers_count]],"NA")</f>
        <v>72.151785714285708</v>
      </c>
      <c r="L961" t="s">
        <v>21</v>
      </c>
      <c r="M961" t="s">
        <v>22</v>
      </c>
      <c r="N961">
        <v>1277096400</v>
      </c>
      <c r="O961">
        <v>1278997200</v>
      </c>
      <c r="P961" s="11">
        <f>+(((Table1[[#This Row],[launched_at]]/60)/60)/24)+DATE(1970,1,1)</f>
        <v>40350.208333333336</v>
      </c>
      <c r="Q961" s="11">
        <f>+(((Table1[[#This Row],[deadline]]/60)/60)/24)+DATE(1970,1,1)</f>
        <v>40372.208333333336</v>
      </c>
      <c r="R961" t="b">
        <v>0</v>
      </c>
      <c r="S961" t="b">
        <v>0</v>
      </c>
      <c r="T961" t="s">
        <v>71</v>
      </c>
      <c r="U961" t="str">
        <f>+LEFT(Table1[[#This Row],[category &amp; sub-category]],FIND("/",Table1[[#This Row],[category &amp; sub-category]])-1)</f>
        <v>film &amp; video</v>
      </c>
      <c r="V961" t="str">
        <f>+RIGHT(Table1[[#This Row],[category &amp; sub-category]],LEN(Table1[[#This Row],[category &amp; sub-category]])-SEARCH("/",Table1[[#This Row],[category &amp; sub-category]]))</f>
        <v>animation</v>
      </c>
    </row>
    <row r="962" spans="2:22" ht="15.75" customHeight="1" x14ac:dyDescent="0.25">
      <c r="B962">
        <v>959</v>
      </c>
      <c r="C962" t="s">
        <v>1948</v>
      </c>
      <c r="D962" s="3" t="s">
        <v>1949</v>
      </c>
      <c r="E962" s="6">
        <v>145000</v>
      </c>
      <c r="F962" s="6">
        <v>6631</v>
      </c>
      <c r="G962" s="17">
        <f>ROUND(Table1[[#This Row],[pledged]]/Table1[[#This Row],[goal]]*100,2)</f>
        <v>4.57</v>
      </c>
      <c r="H962" s="5">
        <f>+Table1[[#This Row],[pledged]]/Table1[[#This Row],[goal]]</f>
        <v>4.5731034482758622E-2</v>
      </c>
      <c r="I962" t="s">
        <v>14</v>
      </c>
      <c r="J962">
        <v>130</v>
      </c>
      <c r="K962" s="8">
        <f>IFERROR(Table1[[#This Row],[pledged]]/Table1[[#This Row],[backers_count]],"NA")</f>
        <v>51.007692307692309</v>
      </c>
      <c r="L962" t="s">
        <v>21</v>
      </c>
      <c r="M962" t="s">
        <v>22</v>
      </c>
      <c r="N962">
        <v>1277701200</v>
      </c>
      <c r="O962">
        <v>1280120400</v>
      </c>
      <c r="P962" s="11">
        <f>+(((Table1[[#This Row],[launched_at]]/60)/60)/24)+DATE(1970,1,1)</f>
        <v>40357.208333333336</v>
      </c>
      <c r="Q962" s="11">
        <f>+(((Table1[[#This Row],[deadline]]/60)/60)/24)+DATE(1970,1,1)</f>
        <v>40385.208333333336</v>
      </c>
      <c r="R962" t="b">
        <v>0</v>
      </c>
      <c r="S962" t="b">
        <v>0</v>
      </c>
      <c r="T962" t="s">
        <v>206</v>
      </c>
      <c r="U962" t="str">
        <f>+LEFT(Table1[[#This Row],[category &amp; sub-category]],FIND("/",Table1[[#This Row],[category &amp; sub-category]])-1)</f>
        <v>publishing</v>
      </c>
      <c r="V962" t="str">
        <f>+RIGHT(Table1[[#This Row],[category &amp; sub-category]],LEN(Table1[[#This Row],[category &amp; sub-category]])-SEARCH("/",Table1[[#This Row],[category &amp; sub-category]]))</f>
        <v>translations</v>
      </c>
    </row>
    <row r="963" spans="2:22" ht="15.75" customHeight="1" x14ac:dyDescent="0.25">
      <c r="B963">
        <v>960</v>
      </c>
      <c r="C963" t="s">
        <v>1950</v>
      </c>
      <c r="D963" s="3" t="s">
        <v>1951</v>
      </c>
      <c r="E963" s="6">
        <v>5500</v>
      </c>
      <c r="F963" s="6">
        <v>4678</v>
      </c>
      <c r="G963" s="17">
        <f>ROUND(Table1[[#This Row],[pledged]]/Table1[[#This Row],[goal]]*100,2)</f>
        <v>85.05</v>
      </c>
      <c r="H963" s="5">
        <f>+Table1[[#This Row],[pledged]]/Table1[[#This Row],[goal]]</f>
        <v>0.85054545454545449</v>
      </c>
      <c r="I963" t="s">
        <v>14</v>
      </c>
      <c r="J963">
        <v>55</v>
      </c>
      <c r="K963" s="8">
        <f>IFERROR(Table1[[#This Row],[pledged]]/Table1[[#This Row],[backers_count]],"NA")</f>
        <v>85.054545454545448</v>
      </c>
      <c r="L963" t="s">
        <v>21</v>
      </c>
      <c r="M963" t="s">
        <v>22</v>
      </c>
      <c r="N963">
        <v>1454911200</v>
      </c>
      <c r="O963">
        <v>1458104400</v>
      </c>
      <c r="P963" s="11">
        <f>+(((Table1[[#This Row],[launched_at]]/60)/60)/24)+DATE(1970,1,1)</f>
        <v>42408.25</v>
      </c>
      <c r="Q963" s="11">
        <f>+(((Table1[[#This Row],[deadline]]/60)/60)/24)+DATE(1970,1,1)</f>
        <v>42445.208333333328</v>
      </c>
      <c r="R963" t="b">
        <v>0</v>
      </c>
      <c r="S963" t="b">
        <v>0</v>
      </c>
      <c r="T963" t="s">
        <v>28</v>
      </c>
      <c r="U963" t="str">
        <f>+LEFT(Table1[[#This Row],[category &amp; sub-category]],FIND("/",Table1[[#This Row],[category &amp; sub-category]])-1)</f>
        <v>technology</v>
      </c>
      <c r="V963" t="str">
        <f>+RIGHT(Table1[[#This Row],[category &amp; sub-category]],LEN(Table1[[#This Row],[category &amp; sub-category]])-SEARCH("/",Table1[[#This Row],[category &amp; sub-category]]))</f>
        <v>web</v>
      </c>
    </row>
    <row r="964" spans="2:22" ht="15.75" customHeight="1" x14ac:dyDescent="0.25">
      <c r="B964">
        <v>961</v>
      </c>
      <c r="C964" t="s">
        <v>1952</v>
      </c>
      <c r="D964" s="3" t="s">
        <v>1953</v>
      </c>
      <c r="E964" s="6">
        <v>5700</v>
      </c>
      <c r="F964" s="6">
        <v>6800</v>
      </c>
      <c r="G964" s="17">
        <f>ROUND(Table1[[#This Row],[pledged]]/Table1[[#This Row],[goal]]*100,2)</f>
        <v>119.3</v>
      </c>
      <c r="H964" s="5">
        <f>+Table1[[#This Row],[pledged]]/Table1[[#This Row],[goal]]</f>
        <v>1.1929824561403508</v>
      </c>
      <c r="I964" t="s">
        <v>20</v>
      </c>
      <c r="J964">
        <v>155</v>
      </c>
      <c r="K964" s="8">
        <f>IFERROR(Table1[[#This Row],[pledged]]/Table1[[#This Row],[backers_count]],"NA")</f>
        <v>43.87096774193548</v>
      </c>
      <c r="L964" t="s">
        <v>21</v>
      </c>
      <c r="M964" t="s">
        <v>22</v>
      </c>
      <c r="N964">
        <v>1297922400</v>
      </c>
      <c r="O964">
        <v>1298268000</v>
      </c>
      <c r="P964" s="11">
        <f>+(((Table1[[#This Row],[launched_at]]/60)/60)/24)+DATE(1970,1,1)</f>
        <v>40591.25</v>
      </c>
      <c r="Q964" s="11">
        <f>+(((Table1[[#This Row],[deadline]]/60)/60)/24)+DATE(1970,1,1)</f>
        <v>40595.25</v>
      </c>
      <c r="R964" t="b">
        <v>0</v>
      </c>
      <c r="S964" t="b">
        <v>0</v>
      </c>
      <c r="T964" t="s">
        <v>206</v>
      </c>
      <c r="U964" t="str">
        <f>+LEFT(Table1[[#This Row],[category &amp; sub-category]],FIND("/",Table1[[#This Row],[category &amp; sub-category]])-1)</f>
        <v>publishing</v>
      </c>
      <c r="V964" t="str">
        <f>+RIGHT(Table1[[#This Row],[category &amp; sub-category]],LEN(Table1[[#This Row],[category &amp; sub-category]])-SEARCH("/",Table1[[#This Row],[category &amp; sub-category]]))</f>
        <v>translations</v>
      </c>
    </row>
    <row r="965" spans="2:22" ht="15.75" customHeight="1" x14ac:dyDescent="0.25">
      <c r="B965">
        <v>962</v>
      </c>
      <c r="C965" t="s">
        <v>1954</v>
      </c>
      <c r="D965" s="3" t="s">
        <v>1955</v>
      </c>
      <c r="E965" s="6">
        <v>3600</v>
      </c>
      <c r="F965" s="6">
        <v>10657</v>
      </c>
      <c r="G965" s="17">
        <f>ROUND(Table1[[#This Row],[pledged]]/Table1[[#This Row],[goal]]*100,2)</f>
        <v>296.02999999999997</v>
      </c>
      <c r="H965" s="5">
        <f>+Table1[[#This Row],[pledged]]/Table1[[#This Row],[goal]]</f>
        <v>2.9602777777777778</v>
      </c>
      <c r="I965" t="s">
        <v>20</v>
      </c>
      <c r="J965">
        <v>266</v>
      </c>
      <c r="K965" s="8">
        <f>IFERROR(Table1[[#This Row],[pledged]]/Table1[[#This Row],[backers_count]],"NA")</f>
        <v>40.063909774436091</v>
      </c>
      <c r="L965" t="s">
        <v>21</v>
      </c>
      <c r="M965" t="s">
        <v>22</v>
      </c>
      <c r="N965">
        <v>1384408800</v>
      </c>
      <c r="O965">
        <v>1386223200</v>
      </c>
      <c r="P965" s="11">
        <f>+(((Table1[[#This Row],[launched_at]]/60)/60)/24)+DATE(1970,1,1)</f>
        <v>41592.25</v>
      </c>
      <c r="Q965" s="11">
        <f>+(((Table1[[#This Row],[deadline]]/60)/60)/24)+DATE(1970,1,1)</f>
        <v>41613.25</v>
      </c>
      <c r="R965" t="b">
        <v>0</v>
      </c>
      <c r="S965" t="b">
        <v>0</v>
      </c>
      <c r="T965" t="s">
        <v>17</v>
      </c>
      <c r="U965" t="str">
        <f>+LEFT(Table1[[#This Row],[category &amp; sub-category]],FIND("/",Table1[[#This Row],[category &amp; sub-category]])-1)</f>
        <v>food</v>
      </c>
      <c r="V965" t="str">
        <f>+RIGHT(Table1[[#This Row],[category &amp; sub-category]],LEN(Table1[[#This Row],[category &amp; sub-category]])-SEARCH("/",Table1[[#This Row],[category &amp; sub-category]]))</f>
        <v>food trucks</v>
      </c>
    </row>
    <row r="966" spans="2:22" ht="15.75" customHeight="1" x14ac:dyDescent="0.25">
      <c r="B966">
        <v>963</v>
      </c>
      <c r="C966" t="s">
        <v>1956</v>
      </c>
      <c r="D966" s="3" t="s">
        <v>1957</v>
      </c>
      <c r="E966" s="6">
        <v>5900</v>
      </c>
      <c r="F966" s="6">
        <v>4997</v>
      </c>
      <c r="G966" s="17">
        <f>ROUND(Table1[[#This Row],[pledged]]/Table1[[#This Row],[goal]]*100,2)</f>
        <v>84.69</v>
      </c>
      <c r="H966" s="5">
        <f>+Table1[[#This Row],[pledged]]/Table1[[#This Row],[goal]]</f>
        <v>0.84694915254237291</v>
      </c>
      <c r="I966" t="s">
        <v>14</v>
      </c>
      <c r="J966">
        <v>114</v>
      </c>
      <c r="K966" s="8">
        <f>IFERROR(Table1[[#This Row],[pledged]]/Table1[[#This Row],[backers_count]],"NA")</f>
        <v>43.833333333333336</v>
      </c>
      <c r="L966" t="s">
        <v>107</v>
      </c>
      <c r="M966" t="s">
        <v>108</v>
      </c>
      <c r="N966">
        <v>1299304800</v>
      </c>
      <c r="O966">
        <v>1299823200</v>
      </c>
      <c r="P966" s="11">
        <f>+(((Table1[[#This Row],[launched_at]]/60)/60)/24)+DATE(1970,1,1)</f>
        <v>40607.25</v>
      </c>
      <c r="Q966" s="11">
        <f>+(((Table1[[#This Row],[deadline]]/60)/60)/24)+DATE(1970,1,1)</f>
        <v>40613.25</v>
      </c>
      <c r="R966" t="b">
        <v>0</v>
      </c>
      <c r="S966" t="b">
        <v>1</v>
      </c>
      <c r="T966" t="s">
        <v>122</v>
      </c>
      <c r="U966" t="str">
        <f>+LEFT(Table1[[#This Row],[category &amp; sub-category]],FIND("/",Table1[[#This Row],[category &amp; sub-category]])-1)</f>
        <v>photography</v>
      </c>
      <c r="V966" t="str">
        <f>+RIGHT(Table1[[#This Row],[category &amp; sub-category]],LEN(Table1[[#This Row],[category &amp; sub-category]])-SEARCH("/",Table1[[#This Row],[category &amp; sub-category]]))</f>
        <v>photography books</v>
      </c>
    </row>
    <row r="967" spans="2:22" ht="15.75" customHeight="1" x14ac:dyDescent="0.25">
      <c r="B967">
        <v>964</v>
      </c>
      <c r="C967" t="s">
        <v>1958</v>
      </c>
      <c r="D967" s="3" t="s">
        <v>1959</v>
      </c>
      <c r="E967" s="6">
        <v>3700</v>
      </c>
      <c r="F967" s="6">
        <v>13164</v>
      </c>
      <c r="G967" s="17">
        <f>ROUND(Table1[[#This Row],[pledged]]/Table1[[#This Row],[goal]]*100,2)</f>
        <v>355.78</v>
      </c>
      <c r="H967" s="5">
        <f>+Table1[[#This Row],[pledged]]/Table1[[#This Row],[goal]]</f>
        <v>3.5578378378378379</v>
      </c>
      <c r="I967" t="s">
        <v>20</v>
      </c>
      <c r="J967">
        <v>155</v>
      </c>
      <c r="K967" s="8">
        <f>IFERROR(Table1[[#This Row],[pledged]]/Table1[[#This Row],[backers_count]],"NA")</f>
        <v>84.92903225806451</v>
      </c>
      <c r="L967" t="s">
        <v>21</v>
      </c>
      <c r="M967" t="s">
        <v>22</v>
      </c>
      <c r="N967">
        <v>1431320400</v>
      </c>
      <c r="O967">
        <v>1431752400</v>
      </c>
      <c r="P967" s="11">
        <f>+(((Table1[[#This Row],[launched_at]]/60)/60)/24)+DATE(1970,1,1)</f>
        <v>42135.208333333328</v>
      </c>
      <c r="Q967" s="11">
        <f>+(((Table1[[#This Row],[deadline]]/60)/60)/24)+DATE(1970,1,1)</f>
        <v>42140.208333333328</v>
      </c>
      <c r="R967" t="b">
        <v>0</v>
      </c>
      <c r="S967" t="b">
        <v>0</v>
      </c>
      <c r="T967" t="s">
        <v>33</v>
      </c>
      <c r="U967" t="str">
        <f>+LEFT(Table1[[#This Row],[category &amp; sub-category]],FIND("/",Table1[[#This Row],[category &amp; sub-category]])-1)</f>
        <v>theater</v>
      </c>
      <c r="V967" t="str">
        <f>+RIGHT(Table1[[#This Row],[category &amp; sub-category]],LEN(Table1[[#This Row],[category &amp; sub-category]])-SEARCH("/",Table1[[#This Row],[category &amp; sub-category]]))</f>
        <v>plays</v>
      </c>
    </row>
    <row r="968" spans="2:22" ht="15.75" customHeight="1" x14ac:dyDescent="0.25">
      <c r="B968">
        <v>965</v>
      </c>
      <c r="C968" t="s">
        <v>1960</v>
      </c>
      <c r="D968" s="3" t="s">
        <v>1961</v>
      </c>
      <c r="E968" s="6">
        <v>2200</v>
      </c>
      <c r="F968" s="6">
        <v>8501</v>
      </c>
      <c r="G968" s="17">
        <f>ROUND(Table1[[#This Row],[pledged]]/Table1[[#This Row],[goal]]*100,2)</f>
        <v>386.41</v>
      </c>
      <c r="H968" s="5">
        <f>+Table1[[#This Row],[pledged]]/Table1[[#This Row],[goal]]</f>
        <v>3.8640909090909092</v>
      </c>
      <c r="I968" t="s">
        <v>20</v>
      </c>
      <c r="J968">
        <v>207</v>
      </c>
      <c r="K968" s="8">
        <f>IFERROR(Table1[[#This Row],[pledged]]/Table1[[#This Row],[backers_count]],"NA")</f>
        <v>41.067632850241544</v>
      </c>
      <c r="L968" t="s">
        <v>40</v>
      </c>
      <c r="M968" t="s">
        <v>41</v>
      </c>
      <c r="N968">
        <v>1264399200</v>
      </c>
      <c r="O968">
        <v>1267855200</v>
      </c>
      <c r="P968" s="11">
        <f>+(((Table1[[#This Row],[launched_at]]/60)/60)/24)+DATE(1970,1,1)</f>
        <v>40203.25</v>
      </c>
      <c r="Q968" s="11">
        <f>+(((Table1[[#This Row],[deadline]]/60)/60)/24)+DATE(1970,1,1)</f>
        <v>40243.25</v>
      </c>
      <c r="R968" t="b">
        <v>0</v>
      </c>
      <c r="S968" t="b">
        <v>0</v>
      </c>
      <c r="T968" t="s">
        <v>23</v>
      </c>
      <c r="U968" t="str">
        <f>+LEFT(Table1[[#This Row],[category &amp; sub-category]],FIND("/",Table1[[#This Row],[category &amp; sub-category]])-1)</f>
        <v>music</v>
      </c>
      <c r="V968" t="str">
        <f>+RIGHT(Table1[[#This Row],[category &amp; sub-category]],LEN(Table1[[#This Row],[category &amp; sub-category]])-SEARCH("/",Table1[[#This Row],[category &amp; sub-category]]))</f>
        <v>rock</v>
      </c>
    </row>
    <row r="969" spans="2:22" ht="15.75" customHeight="1" x14ac:dyDescent="0.25">
      <c r="B969">
        <v>966</v>
      </c>
      <c r="C969" t="s">
        <v>878</v>
      </c>
      <c r="D969" s="3" t="s">
        <v>1962</v>
      </c>
      <c r="E969" s="6">
        <v>1700</v>
      </c>
      <c r="F969" s="6">
        <v>13468</v>
      </c>
      <c r="G969" s="17">
        <f>ROUND(Table1[[#This Row],[pledged]]/Table1[[#This Row],[goal]]*100,2)</f>
        <v>792.24</v>
      </c>
      <c r="H969" s="5">
        <f>+Table1[[#This Row],[pledged]]/Table1[[#This Row],[goal]]</f>
        <v>7.9223529411764702</v>
      </c>
      <c r="I969" t="s">
        <v>20</v>
      </c>
      <c r="J969">
        <v>245</v>
      </c>
      <c r="K969" s="8">
        <f>IFERROR(Table1[[#This Row],[pledged]]/Table1[[#This Row],[backers_count]],"NA")</f>
        <v>54.971428571428568</v>
      </c>
      <c r="L969" t="s">
        <v>21</v>
      </c>
      <c r="M969" t="s">
        <v>22</v>
      </c>
      <c r="N969">
        <v>1497502800</v>
      </c>
      <c r="O969">
        <v>1497675600</v>
      </c>
      <c r="P969" s="11">
        <f>+(((Table1[[#This Row],[launched_at]]/60)/60)/24)+DATE(1970,1,1)</f>
        <v>42901.208333333328</v>
      </c>
      <c r="Q969" s="11">
        <f>+(((Table1[[#This Row],[deadline]]/60)/60)/24)+DATE(1970,1,1)</f>
        <v>42903.208333333328</v>
      </c>
      <c r="R969" t="b">
        <v>0</v>
      </c>
      <c r="S969" t="b">
        <v>0</v>
      </c>
      <c r="T969" t="s">
        <v>33</v>
      </c>
      <c r="U969" t="str">
        <f>+LEFT(Table1[[#This Row],[category &amp; sub-category]],FIND("/",Table1[[#This Row],[category &amp; sub-category]])-1)</f>
        <v>theater</v>
      </c>
      <c r="V969" t="str">
        <f>+RIGHT(Table1[[#This Row],[category &amp; sub-category]],LEN(Table1[[#This Row],[category &amp; sub-category]])-SEARCH("/",Table1[[#This Row],[category &amp; sub-category]]))</f>
        <v>plays</v>
      </c>
    </row>
    <row r="970" spans="2:22" ht="15.75" customHeight="1" x14ac:dyDescent="0.25">
      <c r="B970">
        <v>967</v>
      </c>
      <c r="C970" t="s">
        <v>1963</v>
      </c>
      <c r="D970" s="3" t="s">
        <v>1964</v>
      </c>
      <c r="E970" s="6">
        <v>88400</v>
      </c>
      <c r="F970" s="6">
        <v>121138</v>
      </c>
      <c r="G970" s="17">
        <f>ROUND(Table1[[#This Row],[pledged]]/Table1[[#This Row],[goal]]*100,2)</f>
        <v>137.03</v>
      </c>
      <c r="H970" s="5">
        <f>+Table1[[#This Row],[pledged]]/Table1[[#This Row],[goal]]</f>
        <v>1.3703393665158372</v>
      </c>
      <c r="I970" t="s">
        <v>20</v>
      </c>
      <c r="J970">
        <v>1573</v>
      </c>
      <c r="K970" s="8">
        <f>IFERROR(Table1[[#This Row],[pledged]]/Table1[[#This Row],[backers_count]],"NA")</f>
        <v>77.010807374443743</v>
      </c>
      <c r="L970" t="s">
        <v>21</v>
      </c>
      <c r="M970" t="s">
        <v>22</v>
      </c>
      <c r="N970">
        <v>1333688400</v>
      </c>
      <c r="O970">
        <v>1336885200</v>
      </c>
      <c r="P970" s="11">
        <f>+(((Table1[[#This Row],[launched_at]]/60)/60)/24)+DATE(1970,1,1)</f>
        <v>41005.208333333336</v>
      </c>
      <c r="Q970" s="11">
        <f>+(((Table1[[#This Row],[deadline]]/60)/60)/24)+DATE(1970,1,1)</f>
        <v>41042.208333333336</v>
      </c>
      <c r="R970" t="b">
        <v>0</v>
      </c>
      <c r="S970" t="b">
        <v>0</v>
      </c>
      <c r="T970" t="s">
        <v>319</v>
      </c>
      <c r="U970" t="str">
        <f>+LEFT(Table1[[#This Row],[category &amp; sub-category]],FIND("/",Table1[[#This Row],[category &amp; sub-category]])-1)</f>
        <v>music</v>
      </c>
      <c r="V970" t="str">
        <f>+RIGHT(Table1[[#This Row],[category &amp; sub-category]],LEN(Table1[[#This Row],[category &amp; sub-category]])-SEARCH("/",Table1[[#This Row],[category &amp; sub-category]]))</f>
        <v>world music</v>
      </c>
    </row>
    <row r="971" spans="2:22" ht="15.75" customHeight="1" x14ac:dyDescent="0.25">
      <c r="B971">
        <v>968</v>
      </c>
      <c r="C971" t="s">
        <v>1965</v>
      </c>
      <c r="D971" s="3" t="s">
        <v>1966</v>
      </c>
      <c r="E971" s="6">
        <v>2400</v>
      </c>
      <c r="F971" s="6">
        <v>8117</v>
      </c>
      <c r="G971" s="17">
        <f>ROUND(Table1[[#This Row],[pledged]]/Table1[[#This Row],[goal]]*100,2)</f>
        <v>338.21</v>
      </c>
      <c r="H971" s="5">
        <f>+Table1[[#This Row],[pledged]]/Table1[[#This Row],[goal]]</f>
        <v>3.3820833333333336</v>
      </c>
      <c r="I971" t="s">
        <v>20</v>
      </c>
      <c r="J971">
        <v>114</v>
      </c>
      <c r="K971" s="8">
        <f>IFERROR(Table1[[#This Row],[pledged]]/Table1[[#This Row],[backers_count]],"NA")</f>
        <v>71.201754385964918</v>
      </c>
      <c r="L971" t="s">
        <v>21</v>
      </c>
      <c r="M971" t="s">
        <v>22</v>
      </c>
      <c r="N971">
        <v>1293861600</v>
      </c>
      <c r="O971">
        <v>1295157600</v>
      </c>
      <c r="P971" s="11">
        <f>+(((Table1[[#This Row],[launched_at]]/60)/60)/24)+DATE(1970,1,1)</f>
        <v>40544.25</v>
      </c>
      <c r="Q971" s="11">
        <f>+(((Table1[[#This Row],[deadline]]/60)/60)/24)+DATE(1970,1,1)</f>
        <v>40559.25</v>
      </c>
      <c r="R971" t="b">
        <v>0</v>
      </c>
      <c r="S971" t="b">
        <v>0</v>
      </c>
      <c r="T971" t="s">
        <v>17</v>
      </c>
      <c r="U971" t="str">
        <f>+LEFT(Table1[[#This Row],[category &amp; sub-category]],FIND("/",Table1[[#This Row],[category &amp; sub-category]])-1)</f>
        <v>food</v>
      </c>
      <c r="V971" t="str">
        <f>+RIGHT(Table1[[#This Row],[category &amp; sub-category]],LEN(Table1[[#This Row],[category &amp; sub-category]])-SEARCH("/",Table1[[#This Row],[category &amp; sub-category]]))</f>
        <v>food trucks</v>
      </c>
    </row>
    <row r="972" spans="2:22" ht="15.75" customHeight="1" x14ac:dyDescent="0.25">
      <c r="B972">
        <v>969</v>
      </c>
      <c r="C972" t="s">
        <v>1967</v>
      </c>
      <c r="D972" s="3" t="s">
        <v>1968</v>
      </c>
      <c r="E972" s="6">
        <v>7900</v>
      </c>
      <c r="F972" s="6">
        <v>8550</v>
      </c>
      <c r="G972" s="17">
        <f>ROUND(Table1[[#This Row],[pledged]]/Table1[[#This Row],[goal]]*100,2)</f>
        <v>108.23</v>
      </c>
      <c r="H972" s="5">
        <f>+Table1[[#This Row],[pledged]]/Table1[[#This Row],[goal]]</f>
        <v>1.0822784810126582</v>
      </c>
      <c r="I972" t="s">
        <v>20</v>
      </c>
      <c r="J972">
        <v>93</v>
      </c>
      <c r="K972" s="8">
        <f>IFERROR(Table1[[#This Row],[pledged]]/Table1[[#This Row],[backers_count]],"NA")</f>
        <v>91.935483870967744</v>
      </c>
      <c r="L972" t="s">
        <v>21</v>
      </c>
      <c r="M972" t="s">
        <v>22</v>
      </c>
      <c r="N972">
        <v>1576994400</v>
      </c>
      <c r="O972">
        <v>1577599200</v>
      </c>
      <c r="P972" s="11">
        <f>+(((Table1[[#This Row],[launched_at]]/60)/60)/24)+DATE(1970,1,1)</f>
        <v>43821.25</v>
      </c>
      <c r="Q972" s="11">
        <f>+(((Table1[[#This Row],[deadline]]/60)/60)/24)+DATE(1970,1,1)</f>
        <v>43828.25</v>
      </c>
      <c r="R972" t="b">
        <v>0</v>
      </c>
      <c r="S972" t="b">
        <v>0</v>
      </c>
      <c r="T972" t="s">
        <v>33</v>
      </c>
      <c r="U972" t="str">
        <f>+LEFT(Table1[[#This Row],[category &amp; sub-category]],FIND("/",Table1[[#This Row],[category &amp; sub-category]])-1)</f>
        <v>theater</v>
      </c>
      <c r="V972" t="str">
        <f>+RIGHT(Table1[[#This Row],[category &amp; sub-category]],LEN(Table1[[#This Row],[category &amp; sub-category]])-SEARCH("/",Table1[[#This Row],[category &amp; sub-category]]))</f>
        <v>plays</v>
      </c>
    </row>
    <row r="973" spans="2:22" ht="15.75" customHeight="1" x14ac:dyDescent="0.25">
      <c r="B973">
        <v>970</v>
      </c>
      <c r="C973" t="s">
        <v>1969</v>
      </c>
      <c r="D973" s="3" t="s">
        <v>1970</v>
      </c>
      <c r="E973" s="6">
        <v>94900</v>
      </c>
      <c r="F973" s="6">
        <v>57659</v>
      </c>
      <c r="G973" s="17">
        <f>ROUND(Table1[[#This Row],[pledged]]/Table1[[#This Row],[goal]]*100,2)</f>
        <v>60.76</v>
      </c>
      <c r="H973" s="5">
        <f>+Table1[[#This Row],[pledged]]/Table1[[#This Row],[goal]]</f>
        <v>0.60757639620653314</v>
      </c>
      <c r="I973" t="s">
        <v>14</v>
      </c>
      <c r="J973">
        <v>594</v>
      </c>
      <c r="K973" s="8">
        <f>IFERROR(Table1[[#This Row],[pledged]]/Table1[[#This Row],[backers_count]],"NA")</f>
        <v>97.069023569023571</v>
      </c>
      <c r="L973" t="s">
        <v>21</v>
      </c>
      <c r="M973" t="s">
        <v>22</v>
      </c>
      <c r="N973">
        <v>1304917200</v>
      </c>
      <c r="O973">
        <v>1305003600</v>
      </c>
      <c r="P973" s="11">
        <f>+(((Table1[[#This Row],[launched_at]]/60)/60)/24)+DATE(1970,1,1)</f>
        <v>40672.208333333336</v>
      </c>
      <c r="Q973" s="11">
        <f>+(((Table1[[#This Row],[deadline]]/60)/60)/24)+DATE(1970,1,1)</f>
        <v>40673.208333333336</v>
      </c>
      <c r="R973" t="b">
        <v>0</v>
      </c>
      <c r="S973" t="b">
        <v>0</v>
      </c>
      <c r="T973" t="s">
        <v>33</v>
      </c>
      <c r="U973" t="str">
        <f>+LEFT(Table1[[#This Row],[category &amp; sub-category]],FIND("/",Table1[[#This Row],[category &amp; sub-category]])-1)</f>
        <v>theater</v>
      </c>
      <c r="V973" t="str">
        <f>+RIGHT(Table1[[#This Row],[category &amp; sub-category]],LEN(Table1[[#This Row],[category &amp; sub-category]])-SEARCH("/",Table1[[#This Row],[category &amp; sub-category]]))</f>
        <v>plays</v>
      </c>
    </row>
    <row r="974" spans="2:22" ht="15.75" customHeight="1" x14ac:dyDescent="0.25">
      <c r="B974">
        <v>971</v>
      </c>
      <c r="C974" t="s">
        <v>1971</v>
      </c>
      <c r="D974" s="3" t="s">
        <v>1972</v>
      </c>
      <c r="E974" s="6">
        <v>5100</v>
      </c>
      <c r="F974" s="6">
        <v>1414</v>
      </c>
      <c r="G974" s="17">
        <f>ROUND(Table1[[#This Row],[pledged]]/Table1[[#This Row],[goal]]*100,2)</f>
        <v>27.73</v>
      </c>
      <c r="H974" s="5">
        <f>+Table1[[#This Row],[pledged]]/Table1[[#This Row],[goal]]</f>
        <v>0.27725490196078434</v>
      </c>
      <c r="I974" t="s">
        <v>14</v>
      </c>
      <c r="J974">
        <v>24</v>
      </c>
      <c r="K974" s="8">
        <f>IFERROR(Table1[[#This Row],[pledged]]/Table1[[#This Row],[backers_count]],"NA")</f>
        <v>58.916666666666664</v>
      </c>
      <c r="L974" t="s">
        <v>21</v>
      </c>
      <c r="M974" t="s">
        <v>22</v>
      </c>
      <c r="N974">
        <v>1381208400</v>
      </c>
      <c r="O974">
        <v>1381726800</v>
      </c>
      <c r="P974" s="11">
        <f>+(((Table1[[#This Row],[launched_at]]/60)/60)/24)+DATE(1970,1,1)</f>
        <v>41555.208333333336</v>
      </c>
      <c r="Q974" s="11">
        <f>+(((Table1[[#This Row],[deadline]]/60)/60)/24)+DATE(1970,1,1)</f>
        <v>41561.208333333336</v>
      </c>
      <c r="R974" t="b">
        <v>0</v>
      </c>
      <c r="S974" t="b">
        <v>0</v>
      </c>
      <c r="T974" t="s">
        <v>269</v>
      </c>
      <c r="U974" t="str">
        <f>+LEFT(Table1[[#This Row],[category &amp; sub-category]],FIND("/",Table1[[#This Row],[category &amp; sub-category]])-1)</f>
        <v>film &amp; video</v>
      </c>
      <c r="V974" t="str">
        <f>+RIGHT(Table1[[#This Row],[category &amp; sub-category]],LEN(Table1[[#This Row],[category &amp; sub-category]])-SEARCH("/",Table1[[#This Row],[category &amp; sub-category]]))</f>
        <v>television</v>
      </c>
    </row>
    <row r="975" spans="2:22" ht="15.75" customHeight="1" x14ac:dyDescent="0.25">
      <c r="B975">
        <v>972</v>
      </c>
      <c r="C975" t="s">
        <v>1973</v>
      </c>
      <c r="D975" s="3" t="s">
        <v>1974</v>
      </c>
      <c r="E975" s="6">
        <v>42700</v>
      </c>
      <c r="F975" s="6">
        <v>97524</v>
      </c>
      <c r="G975" s="17">
        <f>ROUND(Table1[[#This Row],[pledged]]/Table1[[#This Row],[goal]]*100,2)</f>
        <v>228.39</v>
      </c>
      <c r="H975" s="5">
        <f>+Table1[[#This Row],[pledged]]/Table1[[#This Row],[goal]]</f>
        <v>2.283934426229508</v>
      </c>
      <c r="I975" t="s">
        <v>20</v>
      </c>
      <c r="J975">
        <v>1681</v>
      </c>
      <c r="K975" s="8">
        <f>IFERROR(Table1[[#This Row],[pledged]]/Table1[[#This Row],[backers_count]],"NA")</f>
        <v>58.015466983938133</v>
      </c>
      <c r="L975" t="s">
        <v>21</v>
      </c>
      <c r="M975" t="s">
        <v>22</v>
      </c>
      <c r="N975">
        <v>1401685200</v>
      </c>
      <c r="O975">
        <v>1402462800</v>
      </c>
      <c r="P975" s="11">
        <f>+(((Table1[[#This Row],[launched_at]]/60)/60)/24)+DATE(1970,1,1)</f>
        <v>41792.208333333336</v>
      </c>
      <c r="Q975" s="11">
        <f>+(((Table1[[#This Row],[deadline]]/60)/60)/24)+DATE(1970,1,1)</f>
        <v>41801.208333333336</v>
      </c>
      <c r="R975" t="b">
        <v>0</v>
      </c>
      <c r="S975" t="b">
        <v>1</v>
      </c>
      <c r="T975" t="s">
        <v>28</v>
      </c>
      <c r="U975" t="str">
        <f>+LEFT(Table1[[#This Row],[category &amp; sub-category]],FIND("/",Table1[[#This Row],[category &amp; sub-category]])-1)</f>
        <v>technology</v>
      </c>
      <c r="V975" t="str">
        <f>+RIGHT(Table1[[#This Row],[category &amp; sub-category]],LEN(Table1[[#This Row],[category &amp; sub-category]])-SEARCH("/",Table1[[#This Row],[category &amp; sub-category]]))</f>
        <v>web</v>
      </c>
    </row>
    <row r="976" spans="2:22" ht="15.75" customHeight="1" x14ac:dyDescent="0.25">
      <c r="B976">
        <v>973</v>
      </c>
      <c r="C976" t="s">
        <v>1975</v>
      </c>
      <c r="D976" s="3" t="s">
        <v>1976</v>
      </c>
      <c r="E976" s="6">
        <v>121100</v>
      </c>
      <c r="F976" s="6">
        <v>26176</v>
      </c>
      <c r="G976" s="17">
        <f>ROUND(Table1[[#This Row],[pledged]]/Table1[[#This Row],[goal]]*100,2)</f>
        <v>21.62</v>
      </c>
      <c r="H976" s="5">
        <f>+Table1[[#This Row],[pledged]]/Table1[[#This Row],[goal]]</f>
        <v>0.21615194054500414</v>
      </c>
      <c r="I976" t="s">
        <v>14</v>
      </c>
      <c r="J976">
        <v>252</v>
      </c>
      <c r="K976" s="8">
        <f>IFERROR(Table1[[#This Row],[pledged]]/Table1[[#This Row],[backers_count]],"NA")</f>
        <v>103.87301587301587</v>
      </c>
      <c r="L976" t="s">
        <v>21</v>
      </c>
      <c r="M976" t="s">
        <v>22</v>
      </c>
      <c r="N976">
        <v>1291960800</v>
      </c>
      <c r="O976">
        <v>1292133600</v>
      </c>
      <c r="P976" s="11">
        <f>+(((Table1[[#This Row],[launched_at]]/60)/60)/24)+DATE(1970,1,1)</f>
        <v>40522.25</v>
      </c>
      <c r="Q976" s="11">
        <f>+(((Table1[[#This Row],[deadline]]/60)/60)/24)+DATE(1970,1,1)</f>
        <v>40524.25</v>
      </c>
      <c r="R976" t="b">
        <v>0</v>
      </c>
      <c r="S976" t="b">
        <v>1</v>
      </c>
      <c r="T976" t="s">
        <v>33</v>
      </c>
      <c r="U976" t="str">
        <f>+LEFT(Table1[[#This Row],[category &amp; sub-category]],FIND("/",Table1[[#This Row],[category &amp; sub-category]])-1)</f>
        <v>theater</v>
      </c>
      <c r="V976" t="str">
        <f>+RIGHT(Table1[[#This Row],[category &amp; sub-category]],LEN(Table1[[#This Row],[category &amp; sub-category]])-SEARCH("/",Table1[[#This Row],[category &amp; sub-category]]))</f>
        <v>plays</v>
      </c>
    </row>
    <row r="977" spans="2:22" ht="15.75" customHeight="1" x14ac:dyDescent="0.25">
      <c r="B977">
        <v>974</v>
      </c>
      <c r="C977" t="s">
        <v>1977</v>
      </c>
      <c r="D977" s="3" t="s">
        <v>1978</v>
      </c>
      <c r="E977" s="6">
        <v>800</v>
      </c>
      <c r="F977" s="6">
        <v>2991</v>
      </c>
      <c r="G977" s="17">
        <f>ROUND(Table1[[#This Row],[pledged]]/Table1[[#This Row],[goal]]*100,2)</f>
        <v>373.88</v>
      </c>
      <c r="H977" s="5">
        <f>+Table1[[#This Row],[pledged]]/Table1[[#This Row],[goal]]</f>
        <v>3.73875</v>
      </c>
      <c r="I977" t="s">
        <v>20</v>
      </c>
      <c r="J977">
        <v>32</v>
      </c>
      <c r="K977" s="8">
        <f>IFERROR(Table1[[#This Row],[pledged]]/Table1[[#This Row],[backers_count]],"NA")</f>
        <v>93.46875</v>
      </c>
      <c r="L977" t="s">
        <v>21</v>
      </c>
      <c r="M977" t="s">
        <v>22</v>
      </c>
      <c r="N977">
        <v>1368853200</v>
      </c>
      <c r="O977">
        <v>1368939600</v>
      </c>
      <c r="P977" s="11">
        <f>+(((Table1[[#This Row],[launched_at]]/60)/60)/24)+DATE(1970,1,1)</f>
        <v>41412.208333333336</v>
      </c>
      <c r="Q977" s="11">
        <f>+(((Table1[[#This Row],[deadline]]/60)/60)/24)+DATE(1970,1,1)</f>
        <v>41413.208333333336</v>
      </c>
      <c r="R977" t="b">
        <v>0</v>
      </c>
      <c r="S977" t="b">
        <v>0</v>
      </c>
      <c r="T977" t="s">
        <v>60</v>
      </c>
      <c r="U977" t="str">
        <f>+LEFT(Table1[[#This Row],[category &amp; sub-category]],FIND("/",Table1[[#This Row],[category &amp; sub-category]])-1)</f>
        <v>music</v>
      </c>
      <c r="V977" t="str">
        <f>+RIGHT(Table1[[#This Row],[category &amp; sub-category]],LEN(Table1[[#This Row],[category &amp; sub-category]])-SEARCH("/",Table1[[#This Row],[category &amp; sub-category]]))</f>
        <v>indie rock</v>
      </c>
    </row>
    <row r="978" spans="2:22" ht="15.75" customHeight="1" x14ac:dyDescent="0.25">
      <c r="B978">
        <v>975</v>
      </c>
      <c r="C978" t="s">
        <v>1979</v>
      </c>
      <c r="D978" s="3" t="s">
        <v>1980</v>
      </c>
      <c r="E978" s="6">
        <v>5400</v>
      </c>
      <c r="F978" s="6">
        <v>8366</v>
      </c>
      <c r="G978" s="17">
        <f>ROUND(Table1[[#This Row],[pledged]]/Table1[[#This Row],[goal]]*100,2)</f>
        <v>154.93</v>
      </c>
      <c r="H978" s="5">
        <f>+Table1[[#This Row],[pledged]]/Table1[[#This Row],[goal]]</f>
        <v>1.5492592592592593</v>
      </c>
      <c r="I978" t="s">
        <v>20</v>
      </c>
      <c r="J978">
        <v>135</v>
      </c>
      <c r="K978" s="8">
        <f>IFERROR(Table1[[#This Row],[pledged]]/Table1[[#This Row],[backers_count]],"NA")</f>
        <v>61.970370370370368</v>
      </c>
      <c r="L978" t="s">
        <v>21</v>
      </c>
      <c r="M978" t="s">
        <v>22</v>
      </c>
      <c r="N978">
        <v>1448776800</v>
      </c>
      <c r="O978">
        <v>1452146400</v>
      </c>
      <c r="P978" s="11">
        <f>+(((Table1[[#This Row],[launched_at]]/60)/60)/24)+DATE(1970,1,1)</f>
        <v>42337.25</v>
      </c>
      <c r="Q978" s="11">
        <f>+(((Table1[[#This Row],[deadline]]/60)/60)/24)+DATE(1970,1,1)</f>
        <v>42376.25</v>
      </c>
      <c r="R978" t="b">
        <v>0</v>
      </c>
      <c r="S978" t="b">
        <v>1</v>
      </c>
      <c r="T978" t="s">
        <v>33</v>
      </c>
      <c r="U978" t="str">
        <f>+LEFT(Table1[[#This Row],[category &amp; sub-category]],FIND("/",Table1[[#This Row],[category &amp; sub-category]])-1)</f>
        <v>theater</v>
      </c>
      <c r="V978" t="str">
        <f>+RIGHT(Table1[[#This Row],[category &amp; sub-category]],LEN(Table1[[#This Row],[category &amp; sub-category]])-SEARCH("/",Table1[[#This Row],[category &amp; sub-category]]))</f>
        <v>plays</v>
      </c>
    </row>
    <row r="979" spans="2:22" ht="15.75" customHeight="1" x14ac:dyDescent="0.25">
      <c r="B979">
        <v>976</v>
      </c>
      <c r="C979" t="s">
        <v>1981</v>
      </c>
      <c r="D979" s="3" t="s">
        <v>1982</v>
      </c>
      <c r="E979" s="6">
        <v>4000</v>
      </c>
      <c r="F979" s="6">
        <v>12886</v>
      </c>
      <c r="G979" s="17">
        <f>ROUND(Table1[[#This Row],[pledged]]/Table1[[#This Row],[goal]]*100,2)</f>
        <v>322.14999999999998</v>
      </c>
      <c r="H979" s="5">
        <f>+Table1[[#This Row],[pledged]]/Table1[[#This Row],[goal]]</f>
        <v>3.2214999999999998</v>
      </c>
      <c r="I979" t="s">
        <v>20</v>
      </c>
      <c r="J979">
        <v>140</v>
      </c>
      <c r="K979" s="8">
        <f>IFERROR(Table1[[#This Row],[pledged]]/Table1[[#This Row],[backers_count]],"NA")</f>
        <v>92.042857142857144</v>
      </c>
      <c r="L979" t="s">
        <v>21</v>
      </c>
      <c r="M979" t="s">
        <v>22</v>
      </c>
      <c r="N979">
        <v>1296194400</v>
      </c>
      <c r="O979">
        <v>1296712800</v>
      </c>
      <c r="P979" s="11">
        <f>+(((Table1[[#This Row],[launched_at]]/60)/60)/24)+DATE(1970,1,1)</f>
        <v>40571.25</v>
      </c>
      <c r="Q979" s="11">
        <f>+(((Table1[[#This Row],[deadline]]/60)/60)/24)+DATE(1970,1,1)</f>
        <v>40577.25</v>
      </c>
      <c r="R979" t="b">
        <v>0</v>
      </c>
      <c r="S979" t="b">
        <v>1</v>
      </c>
      <c r="T979" t="s">
        <v>33</v>
      </c>
      <c r="U979" t="str">
        <f>+LEFT(Table1[[#This Row],[category &amp; sub-category]],FIND("/",Table1[[#This Row],[category &amp; sub-category]])-1)</f>
        <v>theater</v>
      </c>
      <c r="V979" t="str">
        <f>+RIGHT(Table1[[#This Row],[category &amp; sub-category]],LEN(Table1[[#This Row],[category &amp; sub-category]])-SEARCH("/",Table1[[#This Row],[category &amp; sub-category]]))</f>
        <v>plays</v>
      </c>
    </row>
    <row r="980" spans="2:22" ht="15.75" customHeight="1" x14ac:dyDescent="0.25">
      <c r="B980">
        <v>977</v>
      </c>
      <c r="C980" t="s">
        <v>1258</v>
      </c>
      <c r="D980" s="3" t="s">
        <v>1983</v>
      </c>
      <c r="E980" s="6">
        <v>7000</v>
      </c>
      <c r="F980" s="6">
        <v>5177</v>
      </c>
      <c r="G980" s="17">
        <f>ROUND(Table1[[#This Row],[pledged]]/Table1[[#This Row],[goal]]*100,2)</f>
        <v>73.959999999999994</v>
      </c>
      <c r="H980" s="5">
        <f>+Table1[[#This Row],[pledged]]/Table1[[#This Row],[goal]]</f>
        <v>0.73957142857142855</v>
      </c>
      <c r="I980" t="s">
        <v>14</v>
      </c>
      <c r="J980">
        <v>67</v>
      </c>
      <c r="K980" s="8">
        <f>IFERROR(Table1[[#This Row],[pledged]]/Table1[[#This Row],[backers_count]],"NA")</f>
        <v>77.268656716417908</v>
      </c>
      <c r="L980" t="s">
        <v>21</v>
      </c>
      <c r="M980" t="s">
        <v>22</v>
      </c>
      <c r="N980">
        <v>1517983200</v>
      </c>
      <c r="O980">
        <v>1520748000</v>
      </c>
      <c r="P980" s="11">
        <f>+(((Table1[[#This Row],[launched_at]]/60)/60)/24)+DATE(1970,1,1)</f>
        <v>43138.25</v>
      </c>
      <c r="Q980" s="11">
        <f>+(((Table1[[#This Row],[deadline]]/60)/60)/24)+DATE(1970,1,1)</f>
        <v>43170.25</v>
      </c>
      <c r="R980" t="b">
        <v>0</v>
      </c>
      <c r="S980" t="b">
        <v>0</v>
      </c>
      <c r="T980" t="s">
        <v>17</v>
      </c>
      <c r="U980" t="str">
        <f>+LEFT(Table1[[#This Row],[category &amp; sub-category]],FIND("/",Table1[[#This Row],[category &amp; sub-category]])-1)</f>
        <v>food</v>
      </c>
      <c r="V980" t="str">
        <f>+RIGHT(Table1[[#This Row],[category &amp; sub-category]],LEN(Table1[[#This Row],[category &amp; sub-category]])-SEARCH("/",Table1[[#This Row],[category &amp; sub-category]]))</f>
        <v>food trucks</v>
      </c>
    </row>
    <row r="981" spans="2:22" ht="15.75" customHeight="1" x14ac:dyDescent="0.25">
      <c r="B981">
        <v>978</v>
      </c>
      <c r="C981" t="s">
        <v>1984</v>
      </c>
      <c r="D981" s="3" t="s">
        <v>1985</v>
      </c>
      <c r="E981" s="6">
        <v>1000</v>
      </c>
      <c r="F981" s="6">
        <v>8641</v>
      </c>
      <c r="G981" s="17">
        <f>ROUND(Table1[[#This Row],[pledged]]/Table1[[#This Row],[goal]]*100,2)</f>
        <v>864.1</v>
      </c>
      <c r="H981" s="5">
        <f>+Table1[[#This Row],[pledged]]/Table1[[#This Row],[goal]]</f>
        <v>8.641</v>
      </c>
      <c r="I981" t="s">
        <v>20</v>
      </c>
      <c r="J981">
        <v>92</v>
      </c>
      <c r="K981" s="8">
        <f>IFERROR(Table1[[#This Row],[pledged]]/Table1[[#This Row],[backers_count]],"NA")</f>
        <v>93.923913043478265</v>
      </c>
      <c r="L981" t="s">
        <v>21</v>
      </c>
      <c r="M981" t="s">
        <v>22</v>
      </c>
      <c r="N981">
        <v>1478930400</v>
      </c>
      <c r="O981">
        <v>1480831200</v>
      </c>
      <c r="P981" s="11">
        <f>+(((Table1[[#This Row],[launched_at]]/60)/60)/24)+DATE(1970,1,1)</f>
        <v>42686.25</v>
      </c>
      <c r="Q981" s="11">
        <f>+(((Table1[[#This Row],[deadline]]/60)/60)/24)+DATE(1970,1,1)</f>
        <v>42708.25</v>
      </c>
      <c r="R981" t="b">
        <v>0</v>
      </c>
      <c r="S981" t="b">
        <v>0</v>
      </c>
      <c r="T981" t="s">
        <v>89</v>
      </c>
      <c r="U981" t="str">
        <f>+LEFT(Table1[[#This Row],[category &amp; sub-category]],FIND("/",Table1[[#This Row],[category &amp; sub-category]])-1)</f>
        <v>games</v>
      </c>
      <c r="V981" t="str">
        <f>+RIGHT(Table1[[#This Row],[category &amp; sub-category]],LEN(Table1[[#This Row],[category &amp; sub-category]])-SEARCH("/",Table1[[#This Row],[category &amp; sub-category]]))</f>
        <v>video games</v>
      </c>
    </row>
    <row r="982" spans="2:22" ht="15.75" customHeight="1" x14ac:dyDescent="0.25">
      <c r="B982">
        <v>979</v>
      </c>
      <c r="C982" t="s">
        <v>1986</v>
      </c>
      <c r="D982" s="3" t="s">
        <v>1987</v>
      </c>
      <c r="E982" s="6">
        <v>60200</v>
      </c>
      <c r="F982" s="6">
        <v>86244</v>
      </c>
      <c r="G982" s="17">
        <f>ROUND(Table1[[#This Row],[pledged]]/Table1[[#This Row],[goal]]*100,2)</f>
        <v>143.26</v>
      </c>
      <c r="H982" s="5">
        <f>+Table1[[#This Row],[pledged]]/Table1[[#This Row],[goal]]</f>
        <v>1.432624584717608</v>
      </c>
      <c r="I982" t="s">
        <v>20</v>
      </c>
      <c r="J982">
        <v>1015</v>
      </c>
      <c r="K982" s="8">
        <f>IFERROR(Table1[[#This Row],[pledged]]/Table1[[#This Row],[backers_count]],"NA")</f>
        <v>84.969458128078813</v>
      </c>
      <c r="L982" t="s">
        <v>40</v>
      </c>
      <c r="M982" t="s">
        <v>41</v>
      </c>
      <c r="N982">
        <v>1426395600</v>
      </c>
      <c r="O982">
        <v>1426914000</v>
      </c>
      <c r="P982" s="11">
        <f>+(((Table1[[#This Row],[launched_at]]/60)/60)/24)+DATE(1970,1,1)</f>
        <v>42078.208333333328</v>
      </c>
      <c r="Q982" s="11">
        <f>+(((Table1[[#This Row],[deadline]]/60)/60)/24)+DATE(1970,1,1)</f>
        <v>42084.208333333328</v>
      </c>
      <c r="R982" t="b">
        <v>0</v>
      </c>
      <c r="S982" t="b">
        <v>0</v>
      </c>
      <c r="T982" t="s">
        <v>33</v>
      </c>
      <c r="U982" t="str">
        <f>+LEFT(Table1[[#This Row],[category &amp; sub-category]],FIND("/",Table1[[#This Row],[category &amp; sub-category]])-1)</f>
        <v>theater</v>
      </c>
      <c r="V982" t="str">
        <f>+RIGHT(Table1[[#This Row],[category &amp; sub-category]],LEN(Table1[[#This Row],[category &amp; sub-category]])-SEARCH("/",Table1[[#This Row],[category &amp; sub-category]]))</f>
        <v>plays</v>
      </c>
    </row>
    <row r="983" spans="2:22" ht="15.75" customHeight="1" x14ac:dyDescent="0.25">
      <c r="B983">
        <v>980</v>
      </c>
      <c r="C983" t="s">
        <v>1988</v>
      </c>
      <c r="D983" s="3" t="s">
        <v>1989</v>
      </c>
      <c r="E983" s="6">
        <v>195200</v>
      </c>
      <c r="F983" s="6">
        <v>78630</v>
      </c>
      <c r="G983" s="17">
        <f>ROUND(Table1[[#This Row],[pledged]]/Table1[[#This Row],[goal]]*100,2)</f>
        <v>40.28</v>
      </c>
      <c r="H983" s="5">
        <f>+Table1[[#This Row],[pledged]]/Table1[[#This Row],[goal]]</f>
        <v>0.40281762295081969</v>
      </c>
      <c r="I983" t="s">
        <v>14</v>
      </c>
      <c r="J983">
        <v>742</v>
      </c>
      <c r="K983" s="8">
        <f>IFERROR(Table1[[#This Row],[pledged]]/Table1[[#This Row],[backers_count]],"NA")</f>
        <v>105.97035040431267</v>
      </c>
      <c r="L983" t="s">
        <v>21</v>
      </c>
      <c r="M983" t="s">
        <v>22</v>
      </c>
      <c r="N983">
        <v>1446181200</v>
      </c>
      <c r="O983">
        <v>1446616800</v>
      </c>
      <c r="P983" s="11">
        <f>+(((Table1[[#This Row],[launched_at]]/60)/60)/24)+DATE(1970,1,1)</f>
        <v>42307.208333333328</v>
      </c>
      <c r="Q983" s="11">
        <f>+(((Table1[[#This Row],[deadline]]/60)/60)/24)+DATE(1970,1,1)</f>
        <v>42312.25</v>
      </c>
      <c r="R983" t="b">
        <v>1</v>
      </c>
      <c r="S983" t="b">
        <v>0</v>
      </c>
      <c r="T983" t="s">
        <v>68</v>
      </c>
      <c r="U983" t="str">
        <f>+LEFT(Table1[[#This Row],[category &amp; sub-category]],FIND("/",Table1[[#This Row],[category &amp; sub-category]])-1)</f>
        <v>publishing</v>
      </c>
      <c r="V983" t="str">
        <f>+RIGHT(Table1[[#This Row],[category &amp; sub-category]],LEN(Table1[[#This Row],[category &amp; sub-category]])-SEARCH("/",Table1[[#This Row],[category &amp; sub-category]]))</f>
        <v>nonfiction</v>
      </c>
    </row>
    <row r="984" spans="2:22" ht="15.75" customHeight="1" x14ac:dyDescent="0.25">
      <c r="B984">
        <v>981</v>
      </c>
      <c r="C984" t="s">
        <v>1990</v>
      </c>
      <c r="D984" s="3" t="s">
        <v>1991</v>
      </c>
      <c r="E984" s="6">
        <v>6700</v>
      </c>
      <c r="F984" s="6">
        <v>11941</v>
      </c>
      <c r="G984" s="17">
        <f>ROUND(Table1[[#This Row],[pledged]]/Table1[[#This Row],[goal]]*100,2)</f>
        <v>178.22</v>
      </c>
      <c r="H984" s="5">
        <f>+Table1[[#This Row],[pledged]]/Table1[[#This Row],[goal]]</f>
        <v>1.7822388059701493</v>
      </c>
      <c r="I984" t="s">
        <v>20</v>
      </c>
      <c r="J984">
        <v>323</v>
      </c>
      <c r="K984" s="8">
        <f>IFERROR(Table1[[#This Row],[pledged]]/Table1[[#This Row],[backers_count]],"NA")</f>
        <v>36.969040247678016</v>
      </c>
      <c r="L984" t="s">
        <v>21</v>
      </c>
      <c r="M984" t="s">
        <v>22</v>
      </c>
      <c r="N984">
        <v>1514181600</v>
      </c>
      <c r="O984">
        <v>1517032800</v>
      </c>
      <c r="P984" s="11">
        <f>+(((Table1[[#This Row],[launched_at]]/60)/60)/24)+DATE(1970,1,1)</f>
        <v>43094.25</v>
      </c>
      <c r="Q984" s="11">
        <f>+(((Table1[[#This Row],[deadline]]/60)/60)/24)+DATE(1970,1,1)</f>
        <v>43127.25</v>
      </c>
      <c r="R984" t="b">
        <v>0</v>
      </c>
      <c r="S984" t="b">
        <v>0</v>
      </c>
      <c r="T984" t="s">
        <v>28</v>
      </c>
      <c r="U984" t="str">
        <f>+LEFT(Table1[[#This Row],[category &amp; sub-category]],FIND("/",Table1[[#This Row],[category &amp; sub-category]])-1)</f>
        <v>technology</v>
      </c>
      <c r="V984" t="str">
        <f>+RIGHT(Table1[[#This Row],[category &amp; sub-category]],LEN(Table1[[#This Row],[category &amp; sub-category]])-SEARCH("/",Table1[[#This Row],[category &amp; sub-category]]))</f>
        <v>web</v>
      </c>
    </row>
    <row r="985" spans="2:22" ht="15.75" customHeight="1" x14ac:dyDescent="0.25">
      <c r="B985">
        <v>982</v>
      </c>
      <c r="C985" t="s">
        <v>1992</v>
      </c>
      <c r="D985" s="3" t="s">
        <v>1993</v>
      </c>
      <c r="E985" s="6">
        <v>7200</v>
      </c>
      <c r="F985" s="6">
        <v>6115</v>
      </c>
      <c r="G985" s="17">
        <f>ROUND(Table1[[#This Row],[pledged]]/Table1[[#This Row],[goal]]*100,2)</f>
        <v>84.93</v>
      </c>
      <c r="H985" s="5">
        <f>+Table1[[#This Row],[pledged]]/Table1[[#This Row],[goal]]</f>
        <v>0.84930555555555554</v>
      </c>
      <c r="I985" t="s">
        <v>14</v>
      </c>
      <c r="J985">
        <v>75</v>
      </c>
      <c r="K985" s="8">
        <f>IFERROR(Table1[[#This Row],[pledged]]/Table1[[#This Row],[backers_count]],"NA")</f>
        <v>81.533333333333331</v>
      </c>
      <c r="L985" t="s">
        <v>21</v>
      </c>
      <c r="M985" t="s">
        <v>22</v>
      </c>
      <c r="N985">
        <v>1311051600</v>
      </c>
      <c r="O985">
        <v>1311224400</v>
      </c>
      <c r="P985" s="11">
        <f>+(((Table1[[#This Row],[launched_at]]/60)/60)/24)+DATE(1970,1,1)</f>
        <v>40743.208333333336</v>
      </c>
      <c r="Q985" s="11">
        <f>+(((Table1[[#This Row],[deadline]]/60)/60)/24)+DATE(1970,1,1)</f>
        <v>40745.208333333336</v>
      </c>
      <c r="R985" t="b">
        <v>0</v>
      </c>
      <c r="S985" t="b">
        <v>1</v>
      </c>
      <c r="T985" t="s">
        <v>42</v>
      </c>
      <c r="U985" t="str">
        <f>+LEFT(Table1[[#This Row],[category &amp; sub-category]],FIND("/",Table1[[#This Row],[category &amp; sub-category]])-1)</f>
        <v>film &amp; video</v>
      </c>
      <c r="V985" t="str">
        <f>+RIGHT(Table1[[#This Row],[category &amp; sub-category]],LEN(Table1[[#This Row],[category &amp; sub-category]])-SEARCH("/",Table1[[#This Row],[category &amp; sub-category]]))</f>
        <v>documentary</v>
      </c>
    </row>
    <row r="986" spans="2:22" ht="15.75" customHeight="1" x14ac:dyDescent="0.25">
      <c r="B986">
        <v>983</v>
      </c>
      <c r="C986" t="s">
        <v>1994</v>
      </c>
      <c r="D986" s="3" t="s">
        <v>1995</v>
      </c>
      <c r="E986" s="6">
        <v>129100</v>
      </c>
      <c r="F986" s="6">
        <v>188404</v>
      </c>
      <c r="G986" s="17">
        <f>ROUND(Table1[[#This Row],[pledged]]/Table1[[#This Row],[goal]]*100,2)</f>
        <v>145.94</v>
      </c>
      <c r="H986" s="5">
        <f>+Table1[[#This Row],[pledged]]/Table1[[#This Row],[goal]]</f>
        <v>1.4593648334624323</v>
      </c>
      <c r="I986" t="s">
        <v>20</v>
      </c>
      <c r="J986">
        <v>2326</v>
      </c>
      <c r="K986" s="8">
        <f>IFERROR(Table1[[#This Row],[pledged]]/Table1[[#This Row],[backers_count]],"NA")</f>
        <v>80.999140154772135</v>
      </c>
      <c r="L986" t="s">
        <v>21</v>
      </c>
      <c r="M986" t="s">
        <v>22</v>
      </c>
      <c r="N986">
        <v>1564894800</v>
      </c>
      <c r="O986">
        <v>1566190800</v>
      </c>
      <c r="P986" s="11">
        <f>+(((Table1[[#This Row],[launched_at]]/60)/60)/24)+DATE(1970,1,1)</f>
        <v>43681.208333333328</v>
      </c>
      <c r="Q986" s="11">
        <f>+(((Table1[[#This Row],[deadline]]/60)/60)/24)+DATE(1970,1,1)</f>
        <v>43696.208333333328</v>
      </c>
      <c r="R986" t="b">
        <v>0</v>
      </c>
      <c r="S986" t="b">
        <v>0</v>
      </c>
      <c r="T986" t="s">
        <v>42</v>
      </c>
      <c r="U986" t="str">
        <f>+LEFT(Table1[[#This Row],[category &amp; sub-category]],FIND("/",Table1[[#This Row],[category &amp; sub-category]])-1)</f>
        <v>film &amp; video</v>
      </c>
      <c r="V986" t="str">
        <f>+RIGHT(Table1[[#This Row],[category &amp; sub-category]],LEN(Table1[[#This Row],[category &amp; sub-category]])-SEARCH("/",Table1[[#This Row],[category &amp; sub-category]]))</f>
        <v>documentary</v>
      </c>
    </row>
    <row r="987" spans="2:22" ht="15.75" customHeight="1" x14ac:dyDescent="0.25">
      <c r="B987">
        <v>984</v>
      </c>
      <c r="C987" t="s">
        <v>1996</v>
      </c>
      <c r="D987" s="3" t="s">
        <v>1997</v>
      </c>
      <c r="E987" s="6">
        <v>6500</v>
      </c>
      <c r="F987" s="6">
        <v>9910</v>
      </c>
      <c r="G987" s="17">
        <f>ROUND(Table1[[#This Row],[pledged]]/Table1[[#This Row],[goal]]*100,2)</f>
        <v>152.46</v>
      </c>
      <c r="H987" s="5">
        <f>+Table1[[#This Row],[pledged]]/Table1[[#This Row],[goal]]</f>
        <v>1.5246153846153847</v>
      </c>
      <c r="I987" t="s">
        <v>20</v>
      </c>
      <c r="J987">
        <v>381</v>
      </c>
      <c r="K987" s="8">
        <f>IFERROR(Table1[[#This Row],[pledged]]/Table1[[#This Row],[backers_count]],"NA")</f>
        <v>26.010498687664043</v>
      </c>
      <c r="L987" t="s">
        <v>21</v>
      </c>
      <c r="M987" t="s">
        <v>22</v>
      </c>
      <c r="N987">
        <v>1567918800</v>
      </c>
      <c r="O987">
        <v>1570165200</v>
      </c>
      <c r="P987" s="11">
        <f>+(((Table1[[#This Row],[launched_at]]/60)/60)/24)+DATE(1970,1,1)</f>
        <v>43716.208333333328</v>
      </c>
      <c r="Q987" s="11">
        <f>+(((Table1[[#This Row],[deadline]]/60)/60)/24)+DATE(1970,1,1)</f>
        <v>43742.208333333328</v>
      </c>
      <c r="R987" t="b">
        <v>0</v>
      </c>
      <c r="S987" t="b">
        <v>0</v>
      </c>
      <c r="T987" t="s">
        <v>33</v>
      </c>
      <c r="U987" t="str">
        <f>+LEFT(Table1[[#This Row],[category &amp; sub-category]],FIND("/",Table1[[#This Row],[category &amp; sub-category]])-1)</f>
        <v>theater</v>
      </c>
      <c r="V987" t="str">
        <f>+RIGHT(Table1[[#This Row],[category &amp; sub-category]],LEN(Table1[[#This Row],[category &amp; sub-category]])-SEARCH("/",Table1[[#This Row],[category &amp; sub-category]]))</f>
        <v>plays</v>
      </c>
    </row>
    <row r="988" spans="2:22" ht="15.75" customHeight="1" x14ac:dyDescent="0.25">
      <c r="B988">
        <v>985</v>
      </c>
      <c r="C988" t="s">
        <v>1998</v>
      </c>
      <c r="D988" s="3" t="s">
        <v>1999</v>
      </c>
      <c r="E988" s="6">
        <v>170600</v>
      </c>
      <c r="F988" s="6">
        <v>114523</v>
      </c>
      <c r="G988" s="17">
        <f>ROUND(Table1[[#This Row],[pledged]]/Table1[[#This Row],[goal]]*100,2)</f>
        <v>67.13</v>
      </c>
      <c r="H988" s="5">
        <f>+Table1[[#This Row],[pledged]]/Table1[[#This Row],[goal]]</f>
        <v>0.67129542790152408</v>
      </c>
      <c r="I988" t="s">
        <v>14</v>
      </c>
      <c r="J988">
        <v>4405</v>
      </c>
      <c r="K988" s="8">
        <f>IFERROR(Table1[[#This Row],[pledged]]/Table1[[#This Row],[backers_count]],"NA")</f>
        <v>25.998410896708286</v>
      </c>
      <c r="L988" t="s">
        <v>21</v>
      </c>
      <c r="M988" t="s">
        <v>22</v>
      </c>
      <c r="N988">
        <v>1386309600</v>
      </c>
      <c r="O988">
        <v>1388556000</v>
      </c>
      <c r="P988" s="11">
        <f>+(((Table1[[#This Row],[launched_at]]/60)/60)/24)+DATE(1970,1,1)</f>
        <v>41614.25</v>
      </c>
      <c r="Q988" s="11">
        <f>+(((Table1[[#This Row],[deadline]]/60)/60)/24)+DATE(1970,1,1)</f>
        <v>41640.25</v>
      </c>
      <c r="R988" t="b">
        <v>0</v>
      </c>
      <c r="S988" t="b">
        <v>1</v>
      </c>
      <c r="T988" t="s">
        <v>23</v>
      </c>
      <c r="U988" t="str">
        <f>+LEFT(Table1[[#This Row],[category &amp; sub-category]],FIND("/",Table1[[#This Row],[category &amp; sub-category]])-1)</f>
        <v>music</v>
      </c>
      <c r="V988" t="str">
        <f>+RIGHT(Table1[[#This Row],[category &amp; sub-category]],LEN(Table1[[#This Row],[category &amp; sub-category]])-SEARCH("/",Table1[[#This Row],[category &amp; sub-category]]))</f>
        <v>rock</v>
      </c>
    </row>
    <row r="989" spans="2:22" ht="15.75" customHeight="1" x14ac:dyDescent="0.25">
      <c r="B989">
        <v>986</v>
      </c>
      <c r="C989" t="s">
        <v>2000</v>
      </c>
      <c r="D989" s="3" t="s">
        <v>2001</v>
      </c>
      <c r="E989" s="6">
        <v>7800</v>
      </c>
      <c r="F989" s="6">
        <v>3144</v>
      </c>
      <c r="G989" s="17">
        <f>ROUND(Table1[[#This Row],[pledged]]/Table1[[#This Row],[goal]]*100,2)</f>
        <v>40.31</v>
      </c>
      <c r="H989" s="5">
        <f>+Table1[[#This Row],[pledged]]/Table1[[#This Row],[goal]]</f>
        <v>0.40307692307692305</v>
      </c>
      <c r="I989" t="s">
        <v>14</v>
      </c>
      <c r="J989">
        <v>92</v>
      </c>
      <c r="K989" s="8">
        <f>IFERROR(Table1[[#This Row],[pledged]]/Table1[[#This Row],[backers_count]],"NA")</f>
        <v>34.173913043478258</v>
      </c>
      <c r="L989" t="s">
        <v>21</v>
      </c>
      <c r="M989" t="s">
        <v>22</v>
      </c>
      <c r="N989">
        <v>1301979600</v>
      </c>
      <c r="O989">
        <v>1303189200</v>
      </c>
      <c r="P989" s="11">
        <f>+(((Table1[[#This Row],[launched_at]]/60)/60)/24)+DATE(1970,1,1)</f>
        <v>40638.208333333336</v>
      </c>
      <c r="Q989" s="11">
        <f>+(((Table1[[#This Row],[deadline]]/60)/60)/24)+DATE(1970,1,1)</f>
        <v>40652.208333333336</v>
      </c>
      <c r="R989" t="b">
        <v>0</v>
      </c>
      <c r="S989" t="b">
        <v>0</v>
      </c>
      <c r="T989" t="s">
        <v>23</v>
      </c>
      <c r="U989" t="str">
        <f>+LEFT(Table1[[#This Row],[category &amp; sub-category]],FIND("/",Table1[[#This Row],[category &amp; sub-category]])-1)</f>
        <v>music</v>
      </c>
      <c r="V989" t="str">
        <f>+RIGHT(Table1[[#This Row],[category &amp; sub-category]],LEN(Table1[[#This Row],[category &amp; sub-category]])-SEARCH("/",Table1[[#This Row],[category &amp; sub-category]]))</f>
        <v>rock</v>
      </c>
    </row>
    <row r="990" spans="2:22" ht="15.75" customHeight="1" x14ac:dyDescent="0.25">
      <c r="B990">
        <v>987</v>
      </c>
      <c r="C990" t="s">
        <v>2002</v>
      </c>
      <c r="D990" s="3" t="s">
        <v>2003</v>
      </c>
      <c r="E990" s="6">
        <v>6200</v>
      </c>
      <c r="F990" s="6">
        <v>13441</v>
      </c>
      <c r="G990" s="17">
        <f>ROUND(Table1[[#This Row],[pledged]]/Table1[[#This Row],[goal]]*100,2)</f>
        <v>216.79</v>
      </c>
      <c r="H990" s="5">
        <f>+Table1[[#This Row],[pledged]]/Table1[[#This Row],[goal]]</f>
        <v>2.1679032258064517</v>
      </c>
      <c r="I990" t="s">
        <v>20</v>
      </c>
      <c r="J990">
        <v>480</v>
      </c>
      <c r="K990" s="8">
        <f>IFERROR(Table1[[#This Row],[pledged]]/Table1[[#This Row],[backers_count]],"NA")</f>
        <v>28.002083333333335</v>
      </c>
      <c r="L990" t="s">
        <v>21</v>
      </c>
      <c r="M990" t="s">
        <v>22</v>
      </c>
      <c r="N990">
        <v>1493269200</v>
      </c>
      <c r="O990">
        <v>1494478800</v>
      </c>
      <c r="P990" s="11">
        <f>+(((Table1[[#This Row],[launched_at]]/60)/60)/24)+DATE(1970,1,1)</f>
        <v>42852.208333333328</v>
      </c>
      <c r="Q990" s="11">
        <f>+(((Table1[[#This Row],[deadline]]/60)/60)/24)+DATE(1970,1,1)</f>
        <v>42866.208333333328</v>
      </c>
      <c r="R990" t="b">
        <v>0</v>
      </c>
      <c r="S990" t="b">
        <v>0</v>
      </c>
      <c r="T990" t="s">
        <v>42</v>
      </c>
      <c r="U990" t="str">
        <f>+LEFT(Table1[[#This Row],[category &amp; sub-category]],FIND("/",Table1[[#This Row],[category &amp; sub-category]])-1)</f>
        <v>film &amp; video</v>
      </c>
      <c r="V990" t="str">
        <f>+RIGHT(Table1[[#This Row],[category &amp; sub-category]],LEN(Table1[[#This Row],[category &amp; sub-category]])-SEARCH("/",Table1[[#This Row],[category &amp; sub-category]]))</f>
        <v>documentary</v>
      </c>
    </row>
    <row r="991" spans="2:22" ht="15.75" customHeight="1" x14ac:dyDescent="0.25">
      <c r="B991">
        <v>988</v>
      </c>
      <c r="C991" t="s">
        <v>2004</v>
      </c>
      <c r="D991" s="3" t="s">
        <v>2005</v>
      </c>
      <c r="E991" s="6">
        <v>9400</v>
      </c>
      <c r="F991" s="6">
        <v>4899</v>
      </c>
      <c r="G991" s="17">
        <f>ROUND(Table1[[#This Row],[pledged]]/Table1[[#This Row],[goal]]*100,2)</f>
        <v>52.12</v>
      </c>
      <c r="H991" s="5">
        <f>+Table1[[#This Row],[pledged]]/Table1[[#This Row],[goal]]</f>
        <v>0.52117021276595743</v>
      </c>
      <c r="I991" t="s">
        <v>14</v>
      </c>
      <c r="J991">
        <v>64</v>
      </c>
      <c r="K991" s="8">
        <f>IFERROR(Table1[[#This Row],[pledged]]/Table1[[#This Row],[backers_count]],"NA")</f>
        <v>76.546875</v>
      </c>
      <c r="L991" t="s">
        <v>21</v>
      </c>
      <c r="M991" t="s">
        <v>22</v>
      </c>
      <c r="N991">
        <v>1478930400</v>
      </c>
      <c r="O991">
        <v>1480744800</v>
      </c>
      <c r="P991" s="11">
        <f>+(((Table1[[#This Row],[launched_at]]/60)/60)/24)+DATE(1970,1,1)</f>
        <v>42686.25</v>
      </c>
      <c r="Q991" s="11">
        <f>+(((Table1[[#This Row],[deadline]]/60)/60)/24)+DATE(1970,1,1)</f>
        <v>42707.25</v>
      </c>
      <c r="R991" t="b">
        <v>0</v>
      </c>
      <c r="S991" t="b">
        <v>0</v>
      </c>
      <c r="T991" t="s">
        <v>133</v>
      </c>
      <c r="U991" t="str">
        <f>+LEFT(Table1[[#This Row],[category &amp; sub-category]],FIND("/",Table1[[#This Row],[category &amp; sub-category]])-1)</f>
        <v>publishing</v>
      </c>
      <c r="V991" t="str">
        <f>+RIGHT(Table1[[#This Row],[category &amp; sub-category]],LEN(Table1[[#This Row],[category &amp; sub-category]])-SEARCH("/",Table1[[#This Row],[category &amp; sub-category]]))</f>
        <v>radio &amp; podcasts</v>
      </c>
    </row>
    <row r="992" spans="2:22" ht="15.75" customHeight="1" x14ac:dyDescent="0.25">
      <c r="B992">
        <v>989</v>
      </c>
      <c r="C992" t="s">
        <v>2006</v>
      </c>
      <c r="D992" s="3" t="s">
        <v>2007</v>
      </c>
      <c r="E992" s="6">
        <v>2400</v>
      </c>
      <c r="F992" s="6">
        <v>11990</v>
      </c>
      <c r="G992" s="17">
        <f>ROUND(Table1[[#This Row],[pledged]]/Table1[[#This Row],[goal]]*100,2)</f>
        <v>499.58</v>
      </c>
      <c r="H992" s="5">
        <f>+Table1[[#This Row],[pledged]]/Table1[[#This Row],[goal]]</f>
        <v>4.9958333333333336</v>
      </c>
      <c r="I992" t="s">
        <v>20</v>
      </c>
      <c r="J992">
        <v>226</v>
      </c>
      <c r="K992" s="8">
        <f>IFERROR(Table1[[#This Row],[pledged]]/Table1[[#This Row],[backers_count]],"NA")</f>
        <v>53.053097345132741</v>
      </c>
      <c r="L992" t="s">
        <v>21</v>
      </c>
      <c r="M992" t="s">
        <v>22</v>
      </c>
      <c r="N992">
        <v>1555390800</v>
      </c>
      <c r="O992">
        <v>1555822800</v>
      </c>
      <c r="P992" s="11">
        <f>+(((Table1[[#This Row],[launched_at]]/60)/60)/24)+DATE(1970,1,1)</f>
        <v>43571.208333333328</v>
      </c>
      <c r="Q992" s="11">
        <f>+(((Table1[[#This Row],[deadline]]/60)/60)/24)+DATE(1970,1,1)</f>
        <v>43576.208333333328</v>
      </c>
      <c r="R992" t="b">
        <v>0</v>
      </c>
      <c r="S992" t="b">
        <v>0</v>
      </c>
      <c r="T992" t="s">
        <v>206</v>
      </c>
      <c r="U992" t="str">
        <f>+LEFT(Table1[[#This Row],[category &amp; sub-category]],FIND("/",Table1[[#This Row],[category &amp; sub-category]])-1)</f>
        <v>publishing</v>
      </c>
      <c r="V992" t="str">
        <f>+RIGHT(Table1[[#This Row],[category &amp; sub-category]],LEN(Table1[[#This Row],[category &amp; sub-category]])-SEARCH("/",Table1[[#This Row],[category &amp; sub-category]]))</f>
        <v>translations</v>
      </c>
    </row>
    <row r="993" spans="2:22" ht="15.75" customHeight="1" x14ac:dyDescent="0.25">
      <c r="B993">
        <v>990</v>
      </c>
      <c r="C993" t="s">
        <v>2008</v>
      </c>
      <c r="D993" s="3" t="s">
        <v>2009</v>
      </c>
      <c r="E993" s="6">
        <v>7800</v>
      </c>
      <c r="F993" s="6">
        <v>6839</v>
      </c>
      <c r="G993" s="17">
        <f>ROUND(Table1[[#This Row],[pledged]]/Table1[[#This Row],[goal]]*100,2)</f>
        <v>87.68</v>
      </c>
      <c r="H993" s="5">
        <f>+Table1[[#This Row],[pledged]]/Table1[[#This Row],[goal]]</f>
        <v>0.87679487179487181</v>
      </c>
      <c r="I993" t="s">
        <v>14</v>
      </c>
      <c r="J993">
        <v>64</v>
      </c>
      <c r="K993" s="8">
        <f>IFERROR(Table1[[#This Row],[pledged]]/Table1[[#This Row],[backers_count]],"NA")</f>
        <v>106.859375</v>
      </c>
      <c r="L993" t="s">
        <v>21</v>
      </c>
      <c r="M993" t="s">
        <v>22</v>
      </c>
      <c r="N993">
        <v>1456984800</v>
      </c>
      <c r="O993">
        <v>1458882000</v>
      </c>
      <c r="P993" s="11">
        <f>+(((Table1[[#This Row],[launched_at]]/60)/60)/24)+DATE(1970,1,1)</f>
        <v>42432.25</v>
      </c>
      <c r="Q993" s="11">
        <f>+(((Table1[[#This Row],[deadline]]/60)/60)/24)+DATE(1970,1,1)</f>
        <v>42454.208333333328</v>
      </c>
      <c r="R993" t="b">
        <v>0</v>
      </c>
      <c r="S993" t="b">
        <v>1</v>
      </c>
      <c r="T993" t="s">
        <v>53</v>
      </c>
      <c r="U993" t="str">
        <f>+LEFT(Table1[[#This Row],[category &amp; sub-category]],FIND("/",Table1[[#This Row],[category &amp; sub-category]])-1)</f>
        <v>film &amp; video</v>
      </c>
      <c r="V993" t="str">
        <f>+RIGHT(Table1[[#This Row],[category &amp; sub-category]],LEN(Table1[[#This Row],[category &amp; sub-category]])-SEARCH("/",Table1[[#This Row],[category &amp; sub-category]]))</f>
        <v>drama</v>
      </c>
    </row>
    <row r="994" spans="2:22" ht="15.75" customHeight="1" x14ac:dyDescent="0.25">
      <c r="B994">
        <v>991</v>
      </c>
      <c r="C994" t="s">
        <v>1080</v>
      </c>
      <c r="D994" s="3" t="s">
        <v>2010</v>
      </c>
      <c r="E994" s="6">
        <v>9800</v>
      </c>
      <c r="F994" s="6">
        <v>11091</v>
      </c>
      <c r="G994" s="17">
        <f>ROUND(Table1[[#This Row],[pledged]]/Table1[[#This Row],[goal]]*100,2)</f>
        <v>113.17</v>
      </c>
      <c r="H994" s="5">
        <f>+Table1[[#This Row],[pledged]]/Table1[[#This Row],[goal]]</f>
        <v>1.131734693877551</v>
      </c>
      <c r="I994" t="s">
        <v>20</v>
      </c>
      <c r="J994">
        <v>241</v>
      </c>
      <c r="K994" s="8">
        <f>IFERROR(Table1[[#This Row],[pledged]]/Table1[[#This Row],[backers_count]],"NA")</f>
        <v>46.020746887966808</v>
      </c>
      <c r="L994" t="s">
        <v>21</v>
      </c>
      <c r="M994" t="s">
        <v>22</v>
      </c>
      <c r="N994">
        <v>1411621200</v>
      </c>
      <c r="O994">
        <v>1411966800</v>
      </c>
      <c r="P994" s="11">
        <f>+(((Table1[[#This Row],[launched_at]]/60)/60)/24)+DATE(1970,1,1)</f>
        <v>41907.208333333336</v>
      </c>
      <c r="Q994" s="11">
        <f>+(((Table1[[#This Row],[deadline]]/60)/60)/24)+DATE(1970,1,1)</f>
        <v>41911.208333333336</v>
      </c>
      <c r="R994" t="b">
        <v>0</v>
      </c>
      <c r="S994" t="b">
        <v>1</v>
      </c>
      <c r="T994" t="s">
        <v>23</v>
      </c>
      <c r="U994" t="str">
        <f>+LEFT(Table1[[#This Row],[category &amp; sub-category]],FIND("/",Table1[[#This Row],[category &amp; sub-category]])-1)</f>
        <v>music</v>
      </c>
      <c r="V994" t="str">
        <f>+RIGHT(Table1[[#This Row],[category &amp; sub-category]],LEN(Table1[[#This Row],[category &amp; sub-category]])-SEARCH("/",Table1[[#This Row],[category &amp; sub-category]]))</f>
        <v>rock</v>
      </c>
    </row>
    <row r="995" spans="2:22" ht="15.75" customHeight="1" x14ac:dyDescent="0.25">
      <c r="B995">
        <v>992</v>
      </c>
      <c r="C995" t="s">
        <v>2011</v>
      </c>
      <c r="D995" s="3" t="s">
        <v>2012</v>
      </c>
      <c r="E995" s="6">
        <v>3100</v>
      </c>
      <c r="F995" s="6">
        <v>13223</v>
      </c>
      <c r="G995" s="17">
        <f>ROUND(Table1[[#This Row],[pledged]]/Table1[[#This Row],[goal]]*100,2)</f>
        <v>426.55</v>
      </c>
      <c r="H995" s="5">
        <f>+Table1[[#This Row],[pledged]]/Table1[[#This Row],[goal]]</f>
        <v>4.2654838709677421</v>
      </c>
      <c r="I995" t="s">
        <v>20</v>
      </c>
      <c r="J995">
        <v>132</v>
      </c>
      <c r="K995" s="8">
        <f>IFERROR(Table1[[#This Row],[pledged]]/Table1[[#This Row],[backers_count]],"NA")</f>
        <v>100.17424242424242</v>
      </c>
      <c r="L995" t="s">
        <v>21</v>
      </c>
      <c r="M995" t="s">
        <v>22</v>
      </c>
      <c r="N995">
        <v>1525669200</v>
      </c>
      <c r="O995">
        <v>1526878800</v>
      </c>
      <c r="P995" s="11">
        <f>+(((Table1[[#This Row],[launched_at]]/60)/60)/24)+DATE(1970,1,1)</f>
        <v>43227.208333333328</v>
      </c>
      <c r="Q995" s="11">
        <f>+(((Table1[[#This Row],[deadline]]/60)/60)/24)+DATE(1970,1,1)</f>
        <v>43241.208333333328</v>
      </c>
      <c r="R995" t="b">
        <v>0</v>
      </c>
      <c r="S995" t="b">
        <v>1</v>
      </c>
      <c r="T995" t="s">
        <v>53</v>
      </c>
      <c r="U995" t="str">
        <f>+LEFT(Table1[[#This Row],[category &amp; sub-category]],FIND("/",Table1[[#This Row],[category &amp; sub-category]])-1)</f>
        <v>film &amp; video</v>
      </c>
      <c r="V995" t="str">
        <f>+RIGHT(Table1[[#This Row],[category &amp; sub-category]],LEN(Table1[[#This Row],[category &amp; sub-category]])-SEARCH("/",Table1[[#This Row],[category &amp; sub-category]]))</f>
        <v>drama</v>
      </c>
    </row>
    <row r="996" spans="2:22" ht="15.75" customHeight="1" x14ac:dyDescent="0.25">
      <c r="B996">
        <v>993</v>
      </c>
      <c r="C996" t="s">
        <v>2013</v>
      </c>
      <c r="D996" s="3" t="s">
        <v>2014</v>
      </c>
      <c r="E996" s="6">
        <v>9800</v>
      </c>
      <c r="F996" s="6">
        <v>7608</v>
      </c>
      <c r="G996" s="17">
        <f>ROUND(Table1[[#This Row],[pledged]]/Table1[[#This Row],[goal]]*100,2)</f>
        <v>77.63</v>
      </c>
      <c r="H996" s="5">
        <f>+Table1[[#This Row],[pledged]]/Table1[[#This Row],[goal]]</f>
        <v>0.77632653061224488</v>
      </c>
      <c r="I996" t="s">
        <v>74</v>
      </c>
      <c r="J996">
        <v>75</v>
      </c>
      <c r="K996" s="8">
        <f>IFERROR(Table1[[#This Row],[pledged]]/Table1[[#This Row],[backers_count]],"NA")</f>
        <v>101.44</v>
      </c>
      <c r="L996" t="s">
        <v>107</v>
      </c>
      <c r="M996" t="s">
        <v>108</v>
      </c>
      <c r="N996">
        <v>1450936800</v>
      </c>
      <c r="O996">
        <v>1452405600</v>
      </c>
      <c r="P996" s="11">
        <f>+(((Table1[[#This Row],[launched_at]]/60)/60)/24)+DATE(1970,1,1)</f>
        <v>42362.25</v>
      </c>
      <c r="Q996" s="11">
        <f>+(((Table1[[#This Row],[deadline]]/60)/60)/24)+DATE(1970,1,1)</f>
        <v>42379.25</v>
      </c>
      <c r="R996" t="b">
        <v>0</v>
      </c>
      <c r="S996" t="b">
        <v>1</v>
      </c>
      <c r="T996" t="s">
        <v>122</v>
      </c>
      <c r="U996" t="str">
        <f>+LEFT(Table1[[#This Row],[category &amp; sub-category]],FIND("/",Table1[[#This Row],[category &amp; sub-category]])-1)</f>
        <v>photography</v>
      </c>
      <c r="V996" t="str">
        <f>+RIGHT(Table1[[#This Row],[category &amp; sub-category]],LEN(Table1[[#This Row],[category &amp; sub-category]])-SEARCH("/",Table1[[#This Row],[category &amp; sub-category]]))</f>
        <v>photography books</v>
      </c>
    </row>
    <row r="997" spans="2:22" ht="15.75" customHeight="1" x14ac:dyDescent="0.25">
      <c r="B997">
        <v>994</v>
      </c>
      <c r="C997" t="s">
        <v>2015</v>
      </c>
      <c r="D997" s="3" t="s">
        <v>2016</v>
      </c>
      <c r="E997" s="6">
        <v>141100</v>
      </c>
      <c r="F997" s="6">
        <v>74073</v>
      </c>
      <c r="G997" s="17">
        <f>ROUND(Table1[[#This Row],[pledged]]/Table1[[#This Row],[goal]]*100,2)</f>
        <v>52.5</v>
      </c>
      <c r="H997" s="5">
        <f>+Table1[[#This Row],[pledged]]/Table1[[#This Row],[goal]]</f>
        <v>0.52496810772501767</v>
      </c>
      <c r="I997" t="s">
        <v>14</v>
      </c>
      <c r="J997">
        <v>842</v>
      </c>
      <c r="K997" s="8">
        <f>IFERROR(Table1[[#This Row],[pledged]]/Table1[[#This Row],[backers_count]],"NA")</f>
        <v>87.972684085510693</v>
      </c>
      <c r="L997" t="s">
        <v>21</v>
      </c>
      <c r="M997" t="s">
        <v>22</v>
      </c>
      <c r="N997">
        <v>1413522000</v>
      </c>
      <c r="O997">
        <v>1414040400</v>
      </c>
      <c r="P997" s="11">
        <f>+(((Table1[[#This Row],[launched_at]]/60)/60)/24)+DATE(1970,1,1)</f>
        <v>41929.208333333336</v>
      </c>
      <c r="Q997" s="11">
        <f>+(((Table1[[#This Row],[deadline]]/60)/60)/24)+DATE(1970,1,1)</f>
        <v>41935.208333333336</v>
      </c>
      <c r="R997" t="b">
        <v>0</v>
      </c>
      <c r="S997" t="b">
        <v>1</v>
      </c>
      <c r="T997" t="s">
        <v>206</v>
      </c>
      <c r="U997" t="str">
        <f>+LEFT(Table1[[#This Row],[category &amp; sub-category]],FIND("/",Table1[[#This Row],[category &amp; sub-category]])-1)</f>
        <v>publishing</v>
      </c>
      <c r="V997" t="str">
        <f>+RIGHT(Table1[[#This Row],[category &amp; sub-category]],LEN(Table1[[#This Row],[category &amp; sub-category]])-SEARCH("/",Table1[[#This Row],[category &amp; sub-category]]))</f>
        <v>translations</v>
      </c>
    </row>
    <row r="998" spans="2:22" ht="15.75" customHeight="1" x14ac:dyDescent="0.25">
      <c r="B998">
        <v>995</v>
      </c>
      <c r="C998" t="s">
        <v>2017</v>
      </c>
      <c r="D998" s="3" t="s">
        <v>2018</v>
      </c>
      <c r="E998" s="6">
        <v>97300</v>
      </c>
      <c r="F998" s="6">
        <v>153216</v>
      </c>
      <c r="G998" s="17">
        <f>ROUND(Table1[[#This Row],[pledged]]/Table1[[#This Row],[goal]]*100,2)</f>
        <v>157.47</v>
      </c>
      <c r="H998" s="5">
        <f>+Table1[[#This Row],[pledged]]/Table1[[#This Row],[goal]]</f>
        <v>1.5746762589928058</v>
      </c>
      <c r="I998" t="s">
        <v>20</v>
      </c>
      <c r="J998">
        <v>2043</v>
      </c>
      <c r="K998" s="8">
        <f>IFERROR(Table1[[#This Row],[pledged]]/Table1[[#This Row],[backers_count]],"NA")</f>
        <v>74.995594713656388</v>
      </c>
      <c r="L998" t="s">
        <v>21</v>
      </c>
      <c r="M998" t="s">
        <v>22</v>
      </c>
      <c r="N998">
        <v>1541307600</v>
      </c>
      <c r="O998">
        <v>1543816800</v>
      </c>
      <c r="P998" s="11">
        <f>+(((Table1[[#This Row],[launched_at]]/60)/60)/24)+DATE(1970,1,1)</f>
        <v>43408.208333333328</v>
      </c>
      <c r="Q998" s="11">
        <f>+(((Table1[[#This Row],[deadline]]/60)/60)/24)+DATE(1970,1,1)</f>
        <v>43437.25</v>
      </c>
      <c r="R998" t="b">
        <v>0</v>
      </c>
      <c r="S998" t="b">
        <v>1</v>
      </c>
      <c r="T998" t="s">
        <v>17</v>
      </c>
      <c r="U998" t="str">
        <f>+LEFT(Table1[[#This Row],[category &amp; sub-category]],FIND("/",Table1[[#This Row],[category &amp; sub-category]])-1)</f>
        <v>food</v>
      </c>
      <c r="V998" t="str">
        <f>+RIGHT(Table1[[#This Row],[category &amp; sub-category]],LEN(Table1[[#This Row],[category &amp; sub-category]])-SEARCH("/",Table1[[#This Row],[category &amp; sub-category]]))</f>
        <v>food trucks</v>
      </c>
    </row>
    <row r="999" spans="2:22" ht="15.75" customHeight="1" x14ac:dyDescent="0.25">
      <c r="B999">
        <v>996</v>
      </c>
      <c r="C999" t="s">
        <v>2019</v>
      </c>
      <c r="D999" s="3" t="s">
        <v>2020</v>
      </c>
      <c r="E999" s="6">
        <v>6600</v>
      </c>
      <c r="F999" s="6">
        <v>4814</v>
      </c>
      <c r="G999" s="17">
        <f>ROUND(Table1[[#This Row],[pledged]]/Table1[[#This Row],[goal]]*100,2)</f>
        <v>72.94</v>
      </c>
      <c r="H999" s="5">
        <f>+Table1[[#This Row],[pledged]]/Table1[[#This Row],[goal]]</f>
        <v>0.72939393939393937</v>
      </c>
      <c r="I999" t="s">
        <v>14</v>
      </c>
      <c r="J999">
        <v>112</v>
      </c>
      <c r="K999" s="8">
        <f>IFERROR(Table1[[#This Row],[pledged]]/Table1[[#This Row],[backers_count]],"NA")</f>
        <v>42.982142857142854</v>
      </c>
      <c r="L999" t="s">
        <v>21</v>
      </c>
      <c r="M999" t="s">
        <v>22</v>
      </c>
      <c r="N999">
        <v>1357106400</v>
      </c>
      <c r="O999">
        <v>1359698400</v>
      </c>
      <c r="P999" s="11">
        <f>+(((Table1[[#This Row],[launched_at]]/60)/60)/24)+DATE(1970,1,1)</f>
        <v>41276.25</v>
      </c>
      <c r="Q999" s="11">
        <f>+(((Table1[[#This Row],[deadline]]/60)/60)/24)+DATE(1970,1,1)</f>
        <v>41306.25</v>
      </c>
      <c r="R999" t="b">
        <v>0</v>
      </c>
      <c r="S999" t="b">
        <v>0</v>
      </c>
      <c r="T999" t="s">
        <v>33</v>
      </c>
      <c r="U999" t="str">
        <f>+LEFT(Table1[[#This Row],[category &amp; sub-category]],FIND("/",Table1[[#This Row],[category &amp; sub-category]])-1)</f>
        <v>theater</v>
      </c>
      <c r="V999" t="str">
        <f>+RIGHT(Table1[[#This Row],[category &amp; sub-category]],LEN(Table1[[#This Row],[category &amp; sub-category]])-SEARCH("/",Table1[[#This Row],[category &amp; sub-category]]))</f>
        <v>plays</v>
      </c>
    </row>
    <row r="1000" spans="2:22" ht="15.75" customHeight="1" x14ac:dyDescent="0.25">
      <c r="B1000">
        <v>997</v>
      </c>
      <c r="C1000" t="s">
        <v>2021</v>
      </c>
      <c r="D1000" s="3" t="s">
        <v>2022</v>
      </c>
      <c r="E1000" s="6">
        <v>7600</v>
      </c>
      <c r="F1000" s="6">
        <v>4603</v>
      </c>
      <c r="G1000" s="17">
        <f>ROUND(Table1[[#This Row],[pledged]]/Table1[[#This Row],[goal]]*100,2)</f>
        <v>60.57</v>
      </c>
      <c r="H1000" s="5">
        <f>+Table1[[#This Row],[pledged]]/Table1[[#This Row],[goal]]</f>
        <v>0.60565789473684206</v>
      </c>
      <c r="I1000" t="s">
        <v>74</v>
      </c>
      <c r="J1000">
        <v>139</v>
      </c>
      <c r="K1000" s="8">
        <f>IFERROR(Table1[[#This Row],[pledged]]/Table1[[#This Row],[backers_count]],"NA")</f>
        <v>33.115107913669064</v>
      </c>
      <c r="L1000" t="s">
        <v>107</v>
      </c>
      <c r="M1000" t="s">
        <v>108</v>
      </c>
      <c r="N1000">
        <v>1390197600</v>
      </c>
      <c r="O1000">
        <v>1390629600</v>
      </c>
      <c r="P1000" s="11">
        <f>+(((Table1[[#This Row],[launched_at]]/60)/60)/24)+DATE(1970,1,1)</f>
        <v>41659.25</v>
      </c>
      <c r="Q1000" s="11">
        <f>+(((Table1[[#This Row],[deadline]]/60)/60)/24)+DATE(1970,1,1)</f>
        <v>41664.25</v>
      </c>
      <c r="R1000" t="b">
        <v>0</v>
      </c>
      <c r="S1000" t="b">
        <v>0</v>
      </c>
      <c r="T1000" t="s">
        <v>33</v>
      </c>
      <c r="U1000" t="str">
        <f>+LEFT(Table1[[#This Row],[category &amp; sub-category]],FIND("/",Table1[[#This Row],[category &amp; sub-category]])-1)</f>
        <v>theater</v>
      </c>
      <c r="V1000" t="str">
        <f>+RIGHT(Table1[[#This Row],[category &amp; sub-category]],LEN(Table1[[#This Row],[category &amp; sub-category]])-SEARCH("/",Table1[[#This Row],[category &amp; sub-category]]))</f>
        <v>plays</v>
      </c>
    </row>
    <row r="1001" spans="2:22" ht="15.75" customHeight="1" x14ac:dyDescent="0.25">
      <c r="B1001">
        <v>998</v>
      </c>
      <c r="C1001" t="s">
        <v>2023</v>
      </c>
      <c r="D1001" s="3" t="s">
        <v>2024</v>
      </c>
      <c r="E1001" s="6">
        <v>66600</v>
      </c>
      <c r="F1001" s="6">
        <v>37823</v>
      </c>
      <c r="G1001" s="17">
        <f>ROUND(Table1[[#This Row],[pledged]]/Table1[[#This Row],[goal]]*100,2)</f>
        <v>56.79</v>
      </c>
      <c r="H1001" s="5">
        <f>+Table1[[#This Row],[pledged]]/Table1[[#This Row],[goal]]</f>
        <v>0.5679129129129129</v>
      </c>
      <c r="I1001" t="s">
        <v>14</v>
      </c>
      <c r="J1001">
        <v>374</v>
      </c>
      <c r="K1001" s="8">
        <f>IFERROR(Table1[[#This Row],[pledged]]/Table1[[#This Row],[backers_count]],"NA")</f>
        <v>101.13101604278074</v>
      </c>
      <c r="L1001" t="s">
        <v>21</v>
      </c>
      <c r="M1001" t="s">
        <v>22</v>
      </c>
      <c r="N1001">
        <v>1265868000</v>
      </c>
      <c r="O1001">
        <v>1267077600</v>
      </c>
      <c r="P1001" s="11">
        <f>+(((Table1[[#This Row],[launched_at]]/60)/60)/24)+DATE(1970,1,1)</f>
        <v>40220.25</v>
      </c>
      <c r="Q1001" s="11">
        <f>+(((Table1[[#This Row],[deadline]]/60)/60)/24)+DATE(1970,1,1)</f>
        <v>40234.25</v>
      </c>
      <c r="R1001" t="b">
        <v>0</v>
      </c>
      <c r="S1001" t="b">
        <v>1</v>
      </c>
      <c r="T1001" t="s">
        <v>60</v>
      </c>
      <c r="U1001" t="str">
        <f>+LEFT(Table1[[#This Row],[category &amp; sub-category]],FIND("/",Table1[[#This Row],[category &amp; sub-category]])-1)</f>
        <v>music</v>
      </c>
      <c r="V1001" t="str">
        <f>+RIGHT(Table1[[#This Row],[category &amp; sub-category]],LEN(Table1[[#This Row],[category &amp; sub-category]])-SEARCH("/",Table1[[#This Row],[category &amp; sub-category]]))</f>
        <v>indie rock</v>
      </c>
    </row>
    <row r="1002" spans="2:22" ht="15.75" customHeight="1" x14ac:dyDescent="0.25">
      <c r="B1002">
        <v>999</v>
      </c>
      <c r="C1002" t="s">
        <v>2025</v>
      </c>
      <c r="D1002" s="3" t="s">
        <v>2026</v>
      </c>
      <c r="E1002" s="6">
        <v>111100</v>
      </c>
      <c r="F1002" s="6">
        <v>62819</v>
      </c>
      <c r="G1002" s="17">
        <f>ROUND(Table1[[#This Row],[pledged]]/Table1[[#This Row],[goal]]*100,2)</f>
        <v>56.54</v>
      </c>
      <c r="H1002" s="5">
        <f>+Table1[[#This Row],[pledged]]/Table1[[#This Row],[goal]]</f>
        <v>0.56542754275427543</v>
      </c>
      <c r="I1002" t="s">
        <v>74</v>
      </c>
      <c r="J1002">
        <v>1122</v>
      </c>
      <c r="K1002" s="8">
        <f>IFERROR(Table1[[#This Row],[pledged]]/Table1[[#This Row],[backers_count]],"NA")</f>
        <v>55.98841354723708</v>
      </c>
      <c r="L1002" t="s">
        <v>21</v>
      </c>
      <c r="M1002" t="s">
        <v>22</v>
      </c>
      <c r="N1002">
        <v>1467176400</v>
      </c>
      <c r="O1002">
        <v>1467781200</v>
      </c>
      <c r="P1002" s="11">
        <f>+(((Table1[[#This Row],[launched_at]]/60)/60)/24)+DATE(1970,1,1)</f>
        <v>42550.208333333328</v>
      </c>
      <c r="Q1002" s="11">
        <f>+(((Table1[[#This Row],[deadline]]/60)/60)/24)+DATE(1970,1,1)</f>
        <v>42557.208333333328</v>
      </c>
      <c r="R1002" t="b">
        <v>0</v>
      </c>
      <c r="S1002" t="b">
        <v>0</v>
      </c>
      <c r="T1002" t="s">
        <v>17</v>
      </c>
      <c r="U1002" t="str">
        <f>+LEFT(Table1[[#This Row],[category &amp; sub-category]],FIND("/",Table1[[#This Row],[category &amp; sub-category]])-1)</f>
        <v>food</v>
      </c>
      <c r="V1002" t="str">
        <f>+RIGHT(Table1[[#This Row],[category &amp; sub-category]],LEN(Table1[[#This Row],[category &amp; sub-category]])-SEARCH("/",Table1[[#This Row],[category &amp; sub-category]]))</f>
        <v>food trucks</v>
      </c>
    </row>
  </sheetData>
  <conditionalFormatting sqref="H2:H1002">
    <cfRule type="colorScale" priority="2">
      <colorScale>
        <cfvo type="num" val="0"/>
        <cfvo type="num" val="1"/>
        <cfvo type="num" val="2"/>
        <color rgb="FFC00000"/>
        <color theme="9"/>
        <color theme="4"/>
      </colorScale>
    </cfRule>
  </conditionalFormatting>
  <conditionalFormatting sqref="I2:I1002">
    <cfRule type="cellIs" dxfId="7" priority="4" operator="equal">
      <formula>"canceled"</formula>
    </cfRule>
    <cfRule type="cellIs" dxfId="6" priority="5" operator="equal">
      <formula>"live"</formula>
    </cfRule>
    <cfRule type="cellIs" dxfId="5" priority="6" operator="equal">
      <formula>"failed"</formula>
    </cfRule>
    <cfRule type="cellIs" dxfId="4" priority="7" operator="equal">
      <formula>"successful"</formula>
    </cfRule>
  </conditionalFormatting>
  <conditionalFormatting sqref="G3:G1002">
    <cfRule type="colorScale" priority="1">
      <colorScale>
        <cfvo type="num" val="0"/>
        <cfvo type="num" val="100"/>
        <cfvo type="num" val="200"/>
        <color rgb="FFC00000"/>
        <color theme="9"/>
        <color theme="4"/>
      </colorScale>
    </cfRule>
  </conditionalFormatting>
  <pageMargins left="0.75" right="0.75" top="1" bottom="1" header="0.5" footer="0.5"/>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D5C0-DDD7-4D3F-B54F-C0BDBC239019}">
  <dimension ref="B2:H15"/>
  <sheetViews>
    <sheetView showGridLines="0" workbookViewId="0"/>
  </sheetViews>
  <sheetFormatPr defaultRowHeight="15.75" x14ac:dyDescent="0.25"/>
  <cols>
    <col min="1" max="1" width="3.75" customWidth="1"/>
    <col min="2" max="2" width="13.625" bestFit="1" customWidth="1"/>
    <col min="3" max="3" width="15.25" bestFit="1" customWidth="1"/>
    <col min="4" max="4" width="5.625" bestFit="1" customWidth="1"/>
    <col min="5" max="5" width="3.875" bestFit="1" customWidth="1"/>
    <col min="6" max="6" width="9.25" bestFit="1" customWidth="1"/>
    <col min="7" max="7" width="11" bestFit="1" customWidth="1"/>
    <col min="8" max="8" width="13.5" bestFit="1" customWidth="1"/>
  </cols>
  <sheetData>
    <row r="2" spans="2:8" x14ac:dyDescent="0.25">
      <c r="B2" s="9" t="s">
        <v>6</v>
      </c>
      <c r="C2" t="s">
        <v>2047</v>
      </c>
    </row>
    <row r="4" spans="2:8" x14ac:dyDescent="0.25">
      <c r="B4" s="9" t="s">
        <v>2046</v>
      </c>
      <c r="C4" s="9" t="s">
        <v>2044</v>
      </c>
    </row>
    <row r="5" spans="2:8" x14ac:dyDescent="0.25">
      <c r="B5" s="9" t="s">
        <v>2033</v>
      </c>
      <c r="C5" t="s">
        <v>74</v>
      </c>
      <c r="D5" t="s">
        <v>14</v>
      </c>
      <c r="E5" t="s">
        <v>47</v>
      </c>
      <c r="F5" t="s">
        <v>20</v>
      </c>
      <c r="G5" t="s">
        <v>2043</v>
      </c>
      <c r="H5" s="13" t="s">
        <v>2128</v>
      </c>
    </row>
    <row r="6" spans="2:8" x14ac:dyDescent="0.25">
      <c r="B6" s="10" t="s">
        <v>2034</v>
      </c>
      <c r="C6">
        <v>11</v>
      </c>
      <c r="D6">
        <v>60</v>
      </c>
      <c r="E6">
        <v>5</v>
      </c>
      <c r="F6">
        <v>102</v>
      </c>
      <c r="G6">
        <v>178</v>
      </c>
      <c r="H6" s="19">
        <f>+GETPIVOTDATA("name",$B$4,"outcome","successful","Parent Category ","film &amp; video")/GETPIVOTDATA("name",$B$4,"Parent Category ","film &amp; video")</f>
        <v>0.5730337078651685</v>
      </c>
    </row>
    <row r="7" spans="2:8" x14ac:dyDescent="0.25">
      <c r="B7" s="10" t="s">
        <v>2035</v>
      </c>
      <c r="C7">
        <v>4</v>
      </c>
      <c r="D7">
        <v>20</v>
      </c>
      <c r="F7">
        <v>22</v>
      </c>
      <c r="G7">
        <v>46</v>
      </c>
      <c r="H7" s="19">
        <f>+GETPIVOTDATA("name",$B$4,"outcome","successful","Parent Category ","food")/GETPIVOTDATA("name",$B$4,"Parent Category ","food")</f>
        <v>0.47826086956521741</v>
      </c>
    </row>
    <row r="8" spans="2:8" x14ac:dyDescent="0.25">
      <c r="B8" s="10" t="s">
        <v>2036</v>
      </c>
      <c r="C8">
        <v>1</v>
      </c>
      <c r="D8">
        <v>23</v>
      </c>
      <c r="E8">
        <v>3</v>
      </c>
      <c r="F8">
        <v>21</v>
      </c>
      <c r="G8">
        <v>48</v>
      </c>
      <c r="H8" s="19">
        <f>+GETPIVOTDATA("name",$B$4,"outcome","successful","Parent Category ","games")/GETPIVOTDATA("name",$B$4,"Parent Category ","games")</f>
        <v>0.4375</v>
      </c>
    </row>
    <row r="9" spans="2:8" x14ac:dyDescent="0.25">
      <c r="B9" s="10" t="s">
        <v>2037</v>
      </c>
      <c r="F9">
        <v>4</v>
      </c>
      <c r="G9">
        <v>4</v>
      </c>
      <c r="H9" s="19">
        <f>+GETPIVOTDATA("name",$B$4,"outcome","successful","Parent Category ","journalism")/GETPIVOTDATA("name",$B$4,"Parent Category ","journalism")</f>
        <v>1</v>
      </c>
    </row>
    <row r="10" spans="2:8" x14ac:dyDescent="0.25">
      <c r="B10" s="10" t="s">
        <v>2038</v>
      </c>
      <c r="C10">
        <v>10</v>
      </c>
      <c r="D10">
        <v>66</v>
      </c>
      <c r="F10">
        <v>99</v>
      </c>
      <c r="G10">
        <v>175</v>
      </c>
      <c r="H10" s="19">
        <f>+GETPIVOTDATA("name",$B$4,"outcome","successful","Parent Category ","music")/GETPIVOTDATA("name",$B$4,"Parent Category ","music")</f>
        <v>0.56571428571428573</v>
      </c>
    </row>
    <row r="11" spans="2:8" x14ac:dyDescent="0.25">
      <c r="B11" s="10" t="s">
        <v>2039</v>
      </c>
      <c r="C11">
        <v>4</v>
      </c>
      <c r="D11">
        <v>11</v>
      </c>
      <c r="E11">
        <v>1</v>
      </c>
      <c r="F11">
        <v>26</v>
      </c>
      <c r="G11">
        <v>42</v>
      </c>
      <c r="H11" s="19">
        <f>+GETPIVOTDATA("name",$B$4,"outcome","successful","Parent Category ","photography")/GETPIVOTDATA("name",$B$4,"Parent Category ","photography")</f>
        <v>0.61904761904761907</v>
      </c>
    </row>
    <row r="12" spans="2:8" x14ac:dyDescent="0.25">
      <c r="B12" s="10" t="s">
        <v>2040</v>
      </c>
      <c r="C12">
        <v>2</v>
      </c>
      <c r="D12">
        <v>24</v>
      </c>
      <c r="E12">
        <v>1</v>
      </c>
      <c r="F12">
        <v>40</v>
      </c>
      <c r="G12">
        <v>67</v>
      </c>
      <c r="H12" s="19">
        <f>+GETPIVOTDATA("name",$B$4,"outcome","successful","Parent Category ","publishing")/GETPIVOTDATA("name",$B$4,"Parent Category ","publishing")</f>
        <v>0.59701492537313428</v>
      </c>
    </row>
    <row r="13" spans="2:8" x14ac:dyDescent="0.25">
      <c r="B13" s="10" t="s">
        <v>2041</v>
      </c>
      <c r="C13">
        <v>2</v>
      </c>
      <c r="D13">
        <v>28</v>
      </c>
      <c r="E13">
        <v>2</v>
      </c>
      <c r="F13">
        <v>64</v>
      </c>
      <c r="G13">
        <v>96</v>
      </c>
      <c r="H13" s="19">
        <f>+GETPIVOTDATA("name",$B$4,"outcome","successful","Parent Category ","technology")/GETPIVOTDATA("name",$B$4,"Parent Category ","technology")</f>
        <v>0.66666666666666663</v>
      </c>
    </row>
    <row r="14" spans="2:8" x14ac:dyDescent="0.25">
      <c r="B14" s="10" t="s">
        <v>2042</v>
      </c>
      <c r="C14">
        <v>23</v>
      </c>
      <c r="D14">
        <v>132</v>
      </c>
      <c r="E14">
        <v>2</v>
      </c>
      <c r="F14">
        <v>187</v>
      </c>
      <c r="G14">
        <v>344</v>
      </c>
      <c r="H14" s="19">
        <f>+GETPIVOTDATA("name",$B$4,"outcome","successful","Parent Category ","theater")/GETPIVOTDATA("name",$B$4,"Parent Category ","theater")</f>
        <v>0.54360465116279066</v>
      </c>
    </row>
    <row r="15" spans="2:8" x14ac:dyDescent="0.25">
      <c r="B15" s="10" t="s">
        <v>2043</v>
      </c>
      <c r="C15">
        <v>57</v>
      </c>
      <c r="D15">
        <v>364</v>
      </c>
      <c r="E15">
        <v>14</v>
      </c>
      <c r="F15">
        <v>565</v>
      </c>
      <c r="G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64B6-280D-4BDB-9A9C-6DAC90F26CA6}">
  <dimension ref="B2:G31"/>
  <sheetViews>
    <sheetView showGridLines="0" workbookViewId="0"/>
  </sheetViews>
  <sheetFormatPr defaultRowHeight="15.75" x14ac:dyDescent="0.25"/>
  <cols>
    <col min="1" max="1" width="3.75" customWidth="1"/>
    <col min="2" max="2" width="16.375" bestFit="1" customWidth="1"/>
    <col min="3" max="3" width="15.25" bestFit="1" customWidth="1"/>
    <col min="4" max="4" width="5.625" bestFit="1" customWidth="1"/>
    <col min="5" max="5" width="3.875" bestFit="1" customWidth="1"/>
    <col min="6" max="6" width="9.25" bestFit="1" customWidth="1"/>
    <col min="7" max="7" width="11" bestFit="1" customWidth="1"/>
  </cols>
  <sheetData>
    <row r="2" spans="2:7" x14ac:dyDescent="0.25">
      <c r="B2" s="9" t="s">
        <v>6</v>
      </c>
      <c r="C2" t="s">
        <v>2047</v>
      </c>
    </row>
    <row r="3" spans="2:7" x14ac:dyDescent="0.25">
      <c r="B3" s="9" t="s">
        <v>2031</v>
      </c>
      <c r="C3" t="s">
        <v>2047</v>
      </c>
    </row>
    <row r="5" spans="2:7" x14ac:dyDescent="0.25">
      <c r="B5" s="9" t="s">
        <v>2046</v>
      </c>
      <c r="C5" s="9" t="s">
        <v>2044</v>
      </c>
    </row>
    <row r="6" spans="2:7" x14ac:dyDescent="0.25">
      <c r="B6" s="9" t="s">
        <v>2033</v>
      </c>
      <c r="C6" t="s">
        <v>74</v>
      </c>
      <c r="D6" t="s">
        <v>14</v>
      </c>
      <c r="E6" t="s">
        <v>47</v>
      </c>
      <c r="F6" t="s">
        <v>20</v>
      </c>
      <c r="G6" t="s">
        <v>2043</v>
      </c>
    </row>
    <row r="7" spans="2:7" x14ac:dyDescent="0.25">
      <c r="B7" s="10" t="s">
        <v>2048</v>
      </c>
      <c r="C7">
        <v>1</v>
      </c>
      <c r="D7">
        <v>10</v>
      </c>
      <c r="E7">
        <v>2</v>
      </c>
      <c r="F7">
        <v>21</v>
      </c>
      <c r="G7">
        <v>34</v>
      </c>
    </row>
    <row r="8" spans="2:7" x14ac:dyDescent="0.25">
      <c r="B8" s="10" t="s">
        <v>2049</v>
      </c>
      <c r="F8">
        <v>4</v>
      </c>
      <c r="G8">
        <v>4</v>
      </c>
    </row>
    <row r="9" spans="2:7" x14ac:dyDescent="0.25">
      <c r="B9" s="10" t="s">
        <v>2050</v>
      </c>
      <c r="C9">
        <v>4</v>
      </c>
      <c r="D9">
        <v>21</v>
      </c>
      <c r="E9">
        <v>1</v>
      </c>
      <c r="F9">
        <v>34</v>
      </c>
      <c r="G9">
        <v>60</v>
      </c>
    </row>
    <row r="10" spans="2:7" x14ac:dyDescent="0.25">
      <c r="B10" s="10" t="s">
        <v>2051</v>
      </c>
      <c r="C10">
        <v>2</v>
      </c>
      <c r="D10">
        <v>12</v>
      </c>
      <c r="E10">
        <v>1</v>
      </c>
      <c r="F10">
        <v>22</v>
      </c>
      <c r="G10">
        <v>37</v>
      </c>
    </row>
    <row r="11" spans="2:7" x14ac:dyDescent="0.25">
      <c r="B11" s="10" t="s">
        <v>2052</v>
      </c>
      <c r="D11">
        <v>8</v>
      </c>
      <c r="F11">
        <v>10</v>
      </c>
      <c r="G11">
        <v>18</v>
      </c>
    </row>
    <row r="12" spans="2:7" x14ac:dyDescent="0.25">
      <c r="B12" s="10" t="s">
        <v>2053</v>
      </c>
      <c r="C12">
        <v>1</v>
      </c>
      <c r="D12">
        <v>7</v>
      </c>
      <c r="F12">
        <v>9</v>
      </c>
      <c r="G12">
        <v>17</v>
      </c>
    </row>
    <row r="13" spans="2:7" x14ac:dyDescent="0.25">
      <c r="B13" s="10" t="s">
        <v>2054</v>
      </c>
      <c r="C13">
        <v>4</v>
      </c>
      <c r="D13">
        <v>20</v>
      </c>
      <c r="F13">
        <v>22</v>
      </c>
      <c r="G13">
        <v>46</v>
      </c>
    </row>
    <row r="14" spans="2:7" x14ac:dyDescent="0.25">
      <c r="B14" s="10" t="s">
        <v>2055</v>
      </c>
      <c r="C14">
        <v>3</v>
      </c>
      <c r="D14">
        <v>19</v>
      </c>
      <c r="F14">
        <v>23</v>
      </c>
      <c r="G14">
        <v>45</v>
      </c>
    </row>
    <row r="15" spans="2:7" x14ac:dyDescent="0.25">
      <c r="B15" s="10" t="s">
        <v>2056</v>
      </c>
      <c r="C15">
        <v>1</v>
      </c>
      <c r="D15">
        <v>6</v>
      </c>
      <c r="F15">
        <v>10</v>
      </c>
      <c r="G15">
        <v>17</v>
      </c>
    </row>
    <row r="16" spans="2:7" x14ac:dyDescent="0.25">
      <c r="B16" s="10" t="s">
        <v>2057</v>
      </c>
      <c r="D16">
        <v>3</v>
      </c>
      <c r="F16">
        <v>4</v>
      </c>
      <c r="G16">
        <v>7</v>
      </c>
    </row>
    <row r="17" spans="2:7" x14ac:dyDescent="0.25">
      <c r="B17" s="10" t="s">
        <v>2058</v>
      </c>
      <c r="D17">
        <v>8</v>
      </c>
      <c r="E17">
        <v>1</v>
      </c>
      <c r="F17">
        <v>4</v>
      </c>
      <c r="G17">
        <v>13</v>
      </c>
    </row>
    <row r="18" spans="2:7" x14ac:dyDescent="0.25">
      <c r="B18" s="10" t="s">
        <v>2059</v>
      </c>
      <c r="C18">
        <v>1</v>
      </c>
      <c r="D18">
        <v>6</v>
      </c>
      <c r="E18">
        <v>1</v>
      </c>
      <c r="F18">
        <v>13</v>
      </c>
      <c r="G18">
        <v>21</v>
      </c>
    </row>
    <row r="19" spans="2:7" x14ac:dyDescent="0.25">
      <c r="B19" s="10" t="s">
        <v>2060</v>
      </c>
      <c r="C19">
        <v>4</v>
      </c>
      <c r="D19">
        <v>11</v>
      </c>
      <c r="E19">
        <v>1</v>
      </c>
      <c r="F19">
        <v>26</v>
      </c>
      <c r="G19">
        <v>42</v>
      </c>
    </row>
    <row r="20" spans="2:7" x14ac:dyDescent="0.25">
      <c r="B20" s="10" t="s">
        <v>2061</v>
      </c>
      <c r="C20">
        <v>23</v>
      </c>
      <c r="D20">
        <v>132</v>
      </c>
      <c r="E20">
        <v>2</v>
      </c>
      <c r="F20">
        <v>187</v>
      </c>
      <c r="G20">
        <v>344</v>
      </c>
    </row>
    <row r="21" spans="2:7" x14ac:dyDescent="0.25">
      <c r="B21" s="10" t="s">
        <v>2062</v>
      </c>
      <c r="D21">
        <v>4</v>
      </c>
      <c r="F21">
        <v>4</v>
      </c>
      <c r="G21">
        <v>8</v>
      </c>
    </row>
    <row r="22" spans="2:7" x14ac:dyDescent="0.25">
      <c r="B22" s="10" t="s">
        <v>2063</v>
      </c>
      <c r="C22">
        <v>6</v>
      </c>
      <c r="D22">
        <v>30</v>
      </c>
      <c r="F22">
        <v>49</v>
      </c>
      <c r="G22">
        <v>85</v>
      </c>
    </row>
    <row r="23" spans="2:7" x14ac:dyDescent="0.25">
      <c r="B23" s="10" t="s">
        <v>2064</v>
      </c>
      <c r="D23">
        <v>9</v>
      </c>
      <c r="F23">
        <v>5</v>
      </c>
      <c r="G23">
        <v>14</v>
      </c>
    </row>
    <row r="24" spans="2:7" x14ac:dyDescent="0.25">
      <c r="B24" s="10" t="s">
        <v>2065</v>
      </c>
      <c r="C24">
        <v>1</v>
      </c>
      <c r="D24">
        <v>5</v>
      </c>
      <c r="E24">
        <v>1</v>
      </c>
      <c r="F24">
        <v>9</v>
      </c>
      <c r="G24">
        <v>16</v>
      </c>
    </row>
    <row r="25" spans="2:7" x14ac:dyDescent="0.25">
      <c r="B25" s="10" t="s">
        <v>2066</v>
      </c>
      <c r="C25">
        <v>3</v>
      </c>
      <c r="D25">
        <v>3</v>
      </c>
      <c r="F25">
        <v>11</v>
      </c>
      <c r="G25">
        <v>17</v>
      </c>
    </row>
    <row r="26" spans="2:7" x14ac:dyDescent="0.25">
      <c r="B26" s="10" t="s">
        <v>2067</v>
      </c>
      <c r="D26">
        <v>7</v>
      </c>
      <c r="F26">
        <v>14</v>
      </c>
      <c r="G26">
        <v>21</v>
      </c>
    </row>
    <row r="27" spans="2:7" x14ac:dyDescent="0.25">
      <c r="B27" s="10" t="s">
        <v>2068</v>
      </c>
      <c r="C27">
        <v>1</v>
      </c>
      <c r="D27">
        <v>15</v>
      </c>
      <c r="E27">
        <v>2</v>
      </c>
      <c r="F27">
        <v>17</v>
      </c>
      <c r="G27">
        <v>35</v>
      </c>
    </row>
    <row r="28" spans="2:7" x14ac:dyDescent="0.25">
      <c r="B28" s="10" t="s">
        <v>2069</v>
      </c>
      <c r="D28">
        <v>16</v>
      </c>
      <c r="E28">
        <v>1</v>
      </c>
      <c r="F28">
        <v>28</v>
      </c>
      <c r="G28">
        <v>45</v>
      </c>
    </row>
    <row r="29" spans="2:7" x14ac:dyDescent="0.25">
      <c r="B29" s="10" t="s">
        <v>2070</v>
      </c>
      <c r="C29">
        <v>2</v>
      </c>
      <c r="D29">
        <v>12</v>
      </c>
      <c r="E29">
        <v>1</v>
      </c>
      <c r="F29">
        <v>36</v>
      </c>
      <c r="G29">
        <v>51</v>
      </c>
    </row>
    <row r="30" spans="2:7" x14ac:dyDescent="0.25">
      <c r="B30" s="10" t="s">
        <v>2071</v>
      </c>
      <c r="F30">
        <v>3</v>
      </c>
      <c r="G30">
        <v>3</v>
      </c>
    </row>
    <row r="31" spans="2:7" x14ac:dyDescent="0.25">
      <c r="B31" s="10" t="s">
        <v>2043</v>
      </c>
      <c r="C31">
        <v>57</v>
      </c>
      <c r="D31">
        <v>364</v>
      </c>
      <c r="E31">
        <v>14</v>
      </c>
      <c r="F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B11E-D312-4C53-AD80-990F99593087}">
  <dimension ref="B2:H20"/>
  <sheetViews>
    <sheetView showGridLines="0" workbookViewId="0">
      <selection activeCell="Q22" sqref="Q22"/>
    </sheetView>
  </sheetViews>
  <sheetFormatPr defaultRowHeight="15.75" x14ac:dyDescent="0.25"/>
  <cols>
    <col min="1" max="1" width="3.75" customWidth="1"/>
    <col min="2" max="2" width="27.625" bestFit="1" customWidth="1"/>
    <col min="3" max="3" width="15.25" bestFit="1" customWidth="1"/>
    <col min="4" max="4" width="5.625" bestFit="1" customWidth="1"/>
    <col min="5" max="5" width="3.875" bestFit="1" customWidth="1"/>
    <col min="6" max="6" width="9.25" bestFit="1" customWidth="1"/>
    <col min="7" max="7" width="11" bestFit="1" customWidth="1"/>
  </cols>
  <sheetData>
    <row r="2" spans="2:8" x14ac:dyDescent="0.25">
      <c r="B2" s="9" t="s">
        <v>2086</v>
      </c>
      <c r="C2" t="s" vm="1">
        <v>2087</v>
      </c>
    </row>
    <row r="3" spans="2:8" x14ac:dyDescent="0.25">
      <c r="B3" s="9" t="s">
        <v>2088</v>
      </c>
      <c r="C3" t="s" vm="2">
        <v>2087</v>
      </c>
    </row>
    <row r="5" spans="2:8" x14ac:dyDescent="0.25">
      <c r="B5" s="9" t="s">
        <v>2045</v>
      </c>
      <c r="C5" s="9" t="s">
        <v>2044</v>
      </c>
    </row>
    <row r="6" spans="2:8" x14ac:dyDescent="0.25">
      <c r="B6" s="9" t="s">
        <v>2033</v>
      </c>
      <c r="C6" t="s">
        <v>74</v>
      </c>
      <c r="D6" t="s">
        <v>14</v>
      </c>
      <c r="E6" t="s">
        <v>47</v>
      </c>
      <c r="F6" t="s">
        <v>20</v>
      </c>
      <c r="G6" t="s">
        <v>2043</v>
      </c>
      <c r="H6" s="20" t="s">
        <v>2129</v>
      </c>
    </row>
    <row r="7" spans="2:8" x14ac:dyDescent="0.25">
      <c r="B7" s="10" t="s">
        <v>2074</v>
      </c>
      <c r="C7">
        <v>6</v>
      </c>
      <c r="D7">
        <v>36</v>
      </c>
      <c r="E7">
        <v>1</v>
      </c>
      <c r="F7">
        <v>49</v>
      </c>
      <c r="G7">
        <v>92</v>
      </c>
      <c r="H7">
        <f>+GETPIVOTDATA("[Measures].[Count of outcome]",$B$5,"[Table1].[outcome]","[Table1].[outcome].&amp;[successful]","[Table1].[Date Created Converstion (Month)]","[Table1].[Date Created Converstion (Month)].&amp;[Jan]")/GETPIVOTDATA("[Measures].[Count of outcome]",$B$5,"[Table1].[Date Created Converstion (Month)]","[Table1].[Date Created Converstion (Month)].&amp;[Jan]")</f>
        <v>0.53260869565217395</v>
      </c>
    </row>
    <row r="8" spans="2:8" x14ac:dyDescent="0.25">
      <c r="B8" s="10" t="s">
        <v>2075</v>
      </c>
      <c r="C8">
        <v>7</v>
      </c>
      <c r="D8">
        <v>28</v>
      </c>
      <c r="F8">
        <v>44</v>
      </c>
      <c r="G8">
        <v>79</v>
      </c>
      <c r="H8">
        <f>+GETPIVOTDATA("[Measures].[Count of outcome]",$B$5,"[Table1].[outcome]","[Table1].[outcome].&amp;[successful]","[Table1].[Date Created Converstion (Month)]","[Table1].[Date Created Converstion (Month)].&amp;[Feb]")/GETPIVOTDATA("[Measures].[Count of outcome]",$B$5,"[Table1].[Date Created Converstion (Month)]","[Table1].[Date Created Converstion (Month)].&amp;[Feb]")</f>
        <v>0.55696202531645567</v>
      </c>
    </row>
    <row r="9" spans="2:8" x14ac:dyDescent="0.25">
      <c r="B9" s="10" t="s">
        <v>2076</v>
      </c>
      <c r="C9">
        <v>4</v>
      </c>
      <c r="D9">
        <v>33</v>
      </c>
      <c r="F9">
        <v>49</v>
      </c>
      <c r="G9">
        <v>86</v>
      </c>
      <c r="H9">
        <f>+GETPIVOTDATA("[Measures].[Count of outcome]",$B$5,"[Table1].[outcome]","[Table1].[outcome].&amp;[successful]","[Table1].[Date Created Converstion (Month)]","[Table1].[Date Created Converstion (Month)].&amp;[Mar]")/GETPIVOTDATA("[Measures].[Count of outcome]",$B$5,"[Table1].[Date Created Converstion (Month)]","[Table1].[Date Created Converstion (Month)].&amp;[Mar]")</f>
        <v>0.56976744186046513</v>
      </c>
    </row>
    <row r="10" spans="2:8" x14ac:dyDescent="0.25">
      <c r="B10" s="10" t="s">
        <v>2077</v>
      </c>
      <c r="C10">
        <v>1</v>
      </c>
      <c r="D10">
        <v>30</v>
      </c>
      <c r="E10">
        <v>1</v>
      </c>
      <c r="F10">
        <v>46</v>
      </c>
      <c r="G10">
        <v>78</v>
      </c>
      <c r="H10">
        <f>+GETPIVOTDATA("[Measures].[Count of outcome]",$B$5,"[Table1].[outcome]","[Table1].[outcome].&amp;[successful]","[Table1].[Date Created Converstion (Month)]","[Table1].[Date Created Converstion (Month)].&amp;[Apr]")/GETPIVOTDATA("[Measures].[Count of outcome]",$B$5,"[Table1].[Date Created Converstion (Month)]","[Table1].[Date Created Converstion (Month)].&amp;[Apr]")</f>
        <v>0.58974358974358976</v>
      </c>
    </row>
    <row r="11" spans="2:8" x14ac:dyDescent="0.25">
      <c r="B11" s="10" t="s">
        <v>2078</v>
      </c>
      <c r="C11">
        <v>3</v>
      </c>
      <c r="D11">
        <v>35</v>
      </c>
      <c r="E11">
        <v>2</v>
      </c>
      <c r="F11">
        <v>46</v>
      </c>
      <c r="G11">
        <v>86</v>
      </c>
      <c r="H11">
        <f>+GETPIVOTDATA("[Measures].[Count of outcome]",$B$5,"[Table1].[outcome]","[Table1].[outcome].&amp;[successful]","[Table1].[Date Created Converstion (Month)]","[Table1].[Date Created Converstion (Month)].&amp;[May]")/GETPIVOTDATA("[Measures].[Count of outcome]",$B$5,"[Table1].[Date Created Converstion (Month)]","[Table1].[Date Created Converstion (Month)].&amp;[May]")</f>
        <v>0.53488372093023251</v>
      </c>
    </row>
    <row r="12" spans="2:8" x14ac:dyDescent="0.25">
      <c r="B12" s="10" t="s">
        <v>2079</v>
      </c>
      <c r="C12">
        <v>3</v>
      </c>
      <c r="D12">
        <v>28</v>
      </c>
      <c r="E12">
        <v>1</v>
      </c>
      <c r="F12">
        <v>55</v>
      </c>
      <c r="G12">
        <v>87</v>
      </c>
      <c r="H12" s="18">
        <f>+GETPIVOTDATA("[Measures].[Count of outcome]",$B$5,"[Table1].[outcome]","[Table1].[outcome].&amp;[successful]","[Table1].[Date Created Converstion (Month)]","[Table1].[Date Created Converstion (Month)].&amp;[Jun]")/GETPIVOTDATA("[Measures].[Count of outcome]",$B$5,"[Table1].[Date Created Converstion (Month)]","[Table1].[Date Created Converstion (Month)].&amp;[Jun]")</f>
        <v>0.63218390804597702</v>
      </c>
    </row>
    <row r="13" spans="2:8" x14ac:dyDescent="0.25">
      <c r="B13" s="10" t="s">
        <v>2080</v>
      </c>
      <c r="C13">
        <v>4</v>
      </c>
      <c r="D13">
        <v>31</v>
      </c>
      <c r="E13">
        <v>1</v>
      </c>
      <c r="F13">
        <v>58</v>
      </c>
      <c r="G13">
        <v>94</v>
      </c>
      <c r="H13" s="18">
        <f>+GETPIVOTDATA("[Measures].[Count of outcome]",$B$5,"[Table1].[outcome]","[Table1].[outcome].&amp;[successful]","[Table1].[Date Created Converstion (Month)]","[Table1].[Date Created Converstion (Month)].&amp;[Jul]")/GETPIVOTDATA("[Measures].[Count of outcome]",$B$5,"[Table1].[Date Created Converstion (Month)]","[Table1].[Date Created Converstion (Month)].&amp;[Jul]")</f>
        <v>0.61702127659574468</v>
      </c>
    </row>
    <row r="14" spans="2:8" x14ac:dyDescent="0.25">
      <c r="B14" s="10" t="s">
        <v>2081</v>
      </c>
      <c r="C14">
        <v>8</v>
      </c>
      <c r="D14">
        <v>35</v>
      </c>
      <c r="E14">
        <v>1</v>
      </c>
      <c r="F14">
        <v>41</v>
      </c>
      <c r="G14">
        <v>85</v>
      </c>
      <c r="H14">
        <f>+GETPIVOTDATA("[Measures].[Count of outcome]",$B$5,"[Table1].[outcome]","[Table1].[outcome].&amp;[successful]","[Table1].[Date Created Converstion (Month)]","[Table1].[Date Created Converstion (Month)].&amp;[Aug]")/GETPIVOTDATA("[Measures].[Count of outcome]",$B$5,"[Table1].[Date Created Converstion (Month)]","[Table1].[Date Created Converstion (Month)].&amp;[Aug]")</f>
        <v>0.4823529411764706</v>
      </c>
    </row>
    <row r="15" spans="2:8" x14ac:dyDescent="0.25">
      <c r="B15" s="10" t="s">
        <v>2082</v>
      </c>
      <c r="C15">
        <v>5</v>
      </c>
      <c r="D15">
        <v>23</v>
      </c>
      <c r="F15">
        <v>45</v>
      </c>
      <c r="G15">
        <v>73</v>
      </c>
      <c r="H15" s="18">
        <f>+GETPIVOTDATA("[Measures].[Count of outcome]",$B$5,"[Table1].[outcome]","[Table1].[outcome].&amp;[successful]","[Table1].[Date Created Converstion (Month)]","[Table1].[Date Created Converstion (Month)].&amp;[Sep]")/GETPIVOTDATA("[Measures].[Count of outcome]",$B$5,"[Table1].[Date Created Converstion (Month)]","[Table1].[Date Created Converstion (Month)].&amp;[Sep]")</f>
        <v>0.61643835616438358</v>
      </c>
    </row>
    <row r="16" spans="2:8" x14ac:dyDescent="0.25">
      <c r="B16" s="10" t="s">
        <v>2083</v>
      </c>
      <c r="C16">
        <v>6</v>
      </c>
      <c r="D16">
        <v>26</v>
      </c>
      <c r="E16">
        <v>1</v>
      </c>
      <c r="F16">
        <v>45</v>
      </c>
      <c r="G16">
        <v>78</v>
      </c>
      <c r="H16">
        <f>+GETPIVOTDATA("[Measures].[Count of outcome]",$B$5,"[Table1].[outcome]","[Table1].[outcome].&amp;[successful]","[Table1].[Date Created Converstion (Month)]","[Table1].[Date Created Converstion (Month)].&amp;[Oct]")/GETPIVOTDATA("[Measures].[Count of outcome]",$B$5,"[Table1].[Date Created Converstion (Month)]","[Table1].[Date Created Converstion (Month)].&amp;[Oct]")</f>
        <v>0.57692307692307687</v>
      </c>
    </row>
    <row r="17" spans="2:8" x14ac:dyDescent="0.25">
      <c r="B17" s="10" t="s">
        <v>2084</v>
      </c>
      <c r="C17">
        <v>3</v>
      </c>
      <c r="D17">
        <v>27</v>
      </c>
      <c r="E17">
        <v>3</v>
      </c>
      <c r="F17">
        <v>45</v>
      </c>
      <c r="G17">
        <v>78</v>
      </c>
      <c r="H17">
        <f>+GETPIVOTDATA("[Measures].[Count of outcome]",$B$5,"[Table1].[outcome]","[Table1].[outcome].&amp;[successful]","[Table1].[Date Created Converstion (Month)]","[Table1].[Date Created Converstion (Month)].&amp;[Nov]")/GETPIVOTDATA("[Measures].[Count of outcome]",$B$5,"[Table1].[Date Created Converstion (Month)]","[Table1].[Date Created Converstion (Month)].&amp;[Nov]")</f>
        <v>0.57692307692307687</v>
      </c>
    </row>
    <row r="18" spans="2:8" x14ac:dyDescent="0.25">
      <c r="B18" s="10" t="s">
        <v>2085</v>
      </c>
      <c r="C18">
        <v>7</v>
      </c>
      <c r="D18">
        <v>32</v>
      </c>
      <c r="E18">
        <v>3</v>
      </c>
      <c r="F18">
        <v>42</v>
      </c>
      <c r="G18">
        <v>84</v>
      </c>
      <c r="H18">
        <f>+GETPIVOTDATA("[Measures].[Count of outcome]",$B$5,"[Table1].[outcome]","[Table1].[outcome].&amp;[successful]","[Table1].[Date Created Converstion (Month)]","[Table1].[Date Created Converstion (Month)].&amp;[Dec]")/GETPIVOTDATA("[Measures].[Count of outcome]",$B$5,"[Table1].[Date Created Converstion (Month)]","[Table1].[Date Created Converstion (Month)].&amp;[Dec]")</f>
        <v>0.5</v>
      </c>
    </row>
    <row r="19" spans="2:8" x14ac:dyDescent="0.25">
      <c r="B19" s="10" t="s">
        <v>2043</v>
      </c>
      <c r="C19">
        <v>57</v>
      </c>
      <c r="D19">
        <v>364</v>
      </c>
      <c r="E19">
        <v>14</v>
      </c>
      <c r="F19">
        <v>565</v>
      </c>
      <c r="G19">
        <v>1000</v>
      </c>
    </row>
    <row r="20" spans="2:8" x14ac:dyDescent="0.25">
      <c r="H20">
        <f>+AVERAGE(H7:H18)</f>
        <v>0.56548400911097052</v>
      </c>
    </row>
  </sheetData>
  <pageMargins left="0.7" right="0.7" top="0.75" bottom="0.75" header="0.3" footer="0.3"/>
  <pageSetup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D1534-C763-4B1D-B168-2074B628EDE4}">
  <dimension ref="A1:J14"/>
  <sheetViews>
    <sheetView showGridLines="0" workbookViewId="0">
      <selection activeCell="A3" sqref="A3"/>
    </sheetView>
  </sheetViews>
  <sheetFormatPr defaultRowHeight="15.75" x14ac:dyDescent="0.25"/>
  <cols>
    <col min="1" max="1" width="10.125" bestFit="1" customWidth="1"/>
    <col min="2" max="2" width="38" customWidth="1"/>
    <col min="3" max="3" width="18.125" customWidth="1"/>
    <col min="4" max="4" width="14.5" customWidth="1"/>
    <col min="5" max="5" width="17.125" customWidth="1"/>
    <col min="6" max="6" width="13.875" customWidth="1"/>
    <col min="7" max="7" width="20.875" customWidth="1"/>
    <col min="8" max="8" width="17.25" customWidth="1"/>
    <col min="9" max="9" width="19.875" customWidth="1"/>
  </cols>
  <sheetData>
    <row r="1" spans="1:10" x14ac:dyDescent="0.25">
      <c r="C1" s="13" t="s">
        <v>2108</v>
      </c>
      <c r="D1" s="13" t="s">
        <v>2109</v>
      </c>
      <c r="E1" s="13" t="s">
        <v>2110</v>
      </c>
    </row>
    <row r="2" spans="1:10" ht="15.75" customHeight="1" x14ac:dyDescent="0.25">
      <c r="B2" t="s">
        <v>2089</v>
      </c>
      <c r="C2" t="s">
        <v>2090</v>
      </c>
      <c r="D2" t="s">
        <v>2091</v>
      </c>
      <c r="E2" t="s">
        <v>2092</v>
      </c>
      <c r="F2" t="s">
        <v>2093</v>
      </c>
      <c r="G2" t="s">
        <v>2094</v>
      </c>
      <c r="H2" t="s">
        <v>2095</v>
      </c>
      <c r="I2" t="s">
        <v>2112</v>
      </c>
      <c r="J2" s="14" t="s">
        <v>2111</v>
      </c>
    </row>
    <row r="3" spans="1:10" ht="15.75" customHeight="1" x14ac:dyDescent="0.25">
      <c r="A3" s="16">
        <v>1000</v>
      </c>
      <c r="B3" s="12" t="s">
        <v>2096</v>
      </c>
      <c r="C3">
        <f>+COUNTIFS(Table1[[#All],[outcome]],C$1,Table1[[#All],[goal]],"&lt;"&amp;$A3)</f>
        <v>30</v>
      </c>
      <c r="D3">
        <f>+COUNTIFS(Table1[[#All],[outcome]],D$1,Table1[[#All],[goal]],"&lt;"&amp;$A3)</f>
        <v>20</v>
      </c>
      <c r="E3">
        <f>+COUNTIFS(Table1[[#All],[outcome]],E$1,Table1[[#All],[goal]],"&lt;"&amp;$A3)</f>
        <v>1</v>
      </c>
      <c r="F3">
        <f>+SUM(C3:E3)</f>
        <v>51</v>
      </c>
      <c r="G3" s="4">
        <f>+C3/F3</f>
        <v>0.58823529411764708</v>
      </c>
      <c r="H3" s="4">
        <f>+D3/F3</f>
        <v>0.39215686274509803</v>
      </c>
      <c r="I3" s="4">
        <f>+E3/F3</f>
        <v>1.9607843137254902E-2</v>
      </c>
      <c r="J3" s="15">
        <f>+SUM(G3:I3)</f>
        <v>1</v>
      </c>
    </row>
    <row r="4" spans="1:10" ht="15.75" customHeight="1" x14ac:dyDescent="0.25">
      <c r="A4" s="16">
        <v>4999</v>
      </c>
      <c r="B4" s="12" t="s">
        <v>2097</v>
      </c>
      <c r="C4">
        <f>+COUNTIFS(Table1[[#All],[outcome]],C$1,Table1[[#All],[goal]],"&lt;"&amp;$A4,Table1[[#All],[goal]],"&gt;="&amp;$A3)</f>
        <v>191</v>
      </c>
      <c r="D4">
        <f>+COUNTIFS(Table1[[#All],[outcome]],D$1,Table1[[#All],[goal]],"&lt;"&amp;$A4,Table1[[#All],[goal]],"&gt;="&amp;$A3)</f>
        <v>38</v>
      </c>
      <c r="E4">
        <f>+COUNTIFS(Table1[[#All],[outcome]],E$1,Table1[[#All],[goal]],"&lt;"&amp;$A4,Table1[[#All],[goal]],"&gt;="&amp;$A3)</f>
        <v>2</v>
      </c>
      <c r="F4">
        <f t="shared" ref="F4:F14" si="0">+SUM(C4:E4)</f>
        <v>231</v>
      </c>
      <c r="G4" s="4">
        <f t="shared" ref="G4:G14" si="1">+C4/F4</f>
        <v>0.82683982683982682</v>
      </c>
      <c r="H4" s="4">
        <f t="shared" ref="H4:H14" si="2">+D4/F4</f>
        <v>0.16450216450216451</v>
      </c>
      <c r="I4" s="4">
        <f t="shared" ref="I4:I14" si="3">+E4/F4</f>
        <v>8.658008658008658E-3</v>
      </c>
      <c r="J4" s="15">
        <f t="shared" ref="J4:J14" si="4">+SUM(G4:I4)</f>
        <v>1</v>
      </c>
    </row>
    <row r="5" spans="1:10" ht="15.75" customHeight="1" x14ac:dyDescent="0.25">
      <c r="A5" s="16">
        <v>9999</v>
      </c>
      <c r="B5" s="12" t="s">
        <v>2098</v>
      </c>
      <c r="C5">
        <f>+COUNTIFS(Table1[[#All],[outcome]],C$1,Table1[[#All],[goal]],"&lt;"&amp;$A5,Table1[[#All],[goal]],"&gt;="&amp;$A4)</f>
        <v>164</v>
      </c>
      <c r="D5">
        <f>+COUNTIFS(Table1[[#All],[outcome]],D$1,Table1[[#All],[goal]],"&lt;"&amp;$A5,Table1[[#All],[goal]],"&gt;="&amp;$A4)</f>
        <v>126</v>
      </c>
      <c r="E5">
        <f>+COUNTIFS(Table1[[#All],[outcome]],E$1,Table1[[#All],[goal]],"&lt;"&amp;$A5,Table1[[#All],[goal]],"&gt;="&amp;$A4)</f>
        <v>25</v>
      </c>
      <c r="F5">
        <f t="shared" si="0"/>
        <v>315</v>
      </c>
      <c r="G5" s="4">
        <f t="shared" si="1"/>
        <v>0.52063492063492067</v>
      </c>
      <c r="H5" s="4">
        <f t="shared" si="2"/>
        <v>0.4</v>
      </c>
      <c r="I5" s="4">
        <f t="shared" si="3"/>
        <v>7.9365079365079361E-2</v>
      </c>
      <c r="J5" s="15">
        <f t="shared" si="4"/>
        <v>1</v>
      </c>
    </row>
    <row r="6" spans="1:10" ht="15.75" customHeight="1" x14ac:dyDescent="0.25">
      <c r="A6" s="16">
        <v>14999</v>
      </c>
      <c r="B6" s="12" t="s">
        <v>2099</v>
      </c>
      <c r="C6">
        <f>+COUNTIFS(Table1[[#All],[outcome]],C$1,Table1[[#All],[goal]],"&lt;"&amp;$A6,Table1[[#All],[goal]],"&gt;="&amp;$A5)</f>
        <v>4</v>
      </c>
      <c r="D6">
        <f>+COUNTIFS(Table1[[#All],[outcome]],D$1,Table1[[#All],[goal]],"&lt;"&amp;$A6,Table1[[#All],[goal]],"&gt;="&amp;$A5)</f>
        <v>5</v>
      </c>
      <c r="E6">
        <f>+COUNTIFS(Table1[[#All],[outcome]],E$1,Table1[[#All],[goal]],"&lt;"&amp;$A6,Table1[[#All],[goal]],"&gt;="&amp;$A5)</f>
        <v>0</v>
      </c>
      <c r="F6">
        <f t="shared" si="0"/>
        <v>9</v>
      </c>
      <c r="G6" s="4">
        <f t="shared" si="1"/>
        <v>0.44444444444444442</v>
      </c>
      <c r="H6" s="4">
        <f t="shared" si="2"/>
        <v>0.55555555555555558</v>
      </c>
      <c r="I6" s="4">
        <f t="shared" si="3"/>
        <v>0</v>
      </c>
      <c r="J6" s="15">
        <f t="shared" si="4"/>
        <v>1</v>
      </c>
    </row>
    <row r="7" spans="1:10" ht="15.75" customHeight="1" x14ac:dyDescent="0.25">
      <c r="A7" s="16">
        <v>19999</v>
      </c>
      <c r="B7" s="12" t="s">
        <v>2100</v>
      </c>
      <c r="C7">
        <f>+COUNTIFS(Table1[[#All],[outcome]],C$1,Table1[[#All],[goal]],"&lt;"&amp;$A7,Table1[[#All],[goal]],"&gt;="&amp;$A6)</f>
        <v>10</v>
      </c>
      <c r="D7">
        <f>+COUNTIFS(Table1[[#All],[outcome]],D$1,Table1[[#All],[goal]],"&lt;"&amp;$A7,Table1[[#All],[goal]],"&gt;="&amp;$A6)</f>
        <v>0</v>
      </c>
      <c r="E7">
        <f>+COUNTIFS(Table1[[#All],[outcome]],E$1,Table1[[#All],[goal]],"&lt;"&amp;$A7,Table1[[#All],[goal]],"&gt;="&amp;$A6)</f>
        <v>0</v>
      </c>
      <c r="F7">
        <f t="shared" si="0"/>
        <v>10</v>
      </c>
      <c r="G7" s="4">
        <f t="shared" si="1"/>
        <v>1</v>
      </c>
      <c r="H7" s="4">
        <f t="shared" si="2"/>
        <v>0</v>
      </c>
      <c r="I7" s="4">
        <f t="shared" si="3"/>
        <v>0</v>
      </c>
      <c r="J7" s="15">
        <f t="shared" si="4"/>
        <v>1</v>
      </c>
    </row>
    <row r="8" spans="1:10" ht="15.75" customHeight="1" x14ac:dyDescent="0.25">
      <c r="A8" s="16">
        <v>24999</v>
      </c>
      <c r="B8" s="12" t="s">
        <v>2101</v>
      </c>
      <c r="C8">
        <f>+COUNTIFS(Table1[[#All],[outcome]],C$1,Table1[[#All],[goal]],"&lt;"&amp;$A8,Table1[[#All],[goal]],"&gt;="&amp;$A7)</f>
        <v>7</v>
      </c>
      <c r="D8">
        <f>+COUNTIFS(Table1[[#All],[outcome]],D$1,Table1[[#All],[goal]],"&lt;"&amp;$A8,Table1[[#All],[goal]],"&gt;="&amp;$A7)</f>
        <v>0</v>
      </c>
      <c r="E8">
        <f>+COUNTIFS(Table1[[#All],[outcome]],E$1,Table1[[#All],[goal]],"&lt;"&amp;$A8,Table1[[#All],[goal]],"&gt;="&amp;$A7)</f>
        <v>0</v>
      </c>
      <c r="F8">
        <f t="shared" si="0"/>
        <v>7</v>
      </c>
      <c r="G8" s="4">
        <f t="shared" si="1"/>
        <v>1</v>
      </c>
      <c r="H8" s="4">
        <f t="shared" si="2"/>
        <v>0</v>
      </c>
      <c r="I8" s="4">
        <f t="shared" si="3"/>
        <v>0</v>
      </c>
      <c r="J8" s="15">
        <f t="shared" si="4"/>
        <v>1</v>
      </c>
    </row>
    <row r="9" spans="1:10" ht="15.75" customHeight="1" x14ac:dyDescent="0.25">
      <c r="A9" s="16">
        <v>29999</v>
      </c>
      <c r="B9" s="12" t="s">
        <v>2102</v>
      </c>
      <c r="C9">
        <f>+COUNTIFS(Table1[[#All],[outcome]],C$1,Table1[[#All],[goal]],"&lt;"&amp;$A9,Table1[[#All],[goal]],"&gt;="&amp;$A8)</f>
        <v>11</v>
      </c>
      <c r="D9">
        <f>+COUNTIFS(Table1[[#All],[outcome]],D$1,Table1[[#All],[goal]],"&lt;"&amp;$A9,Table1[[#All],[goal]],"&gt;="&amp;$A8)</f>
        <v>3</v>
      </c>
      <c r="E9">
        <f>+COUNTIFS(Table1[[#All],[outcome]],E$1,Table1[[#All],[goal]],"&lt;"&amp;$A9,Table1[[#All],[goal]],"&gt;="&amp;$A8)</f>
        <v>0</v>
      </c>
      <c r="F9">
        <f t="shared" si="0"/>
        <v>14</v>
      </c>
      <c r="G9" s="4">
        <f t="shared" si="1"/>
        <v>0.7857142857142857</v>
      </c>
      <c r="H9" s="4">
        <f t="shared" si="2"/>
        <v>0.21428571428571427</v>
      </c>
      <c r="I9" s="4">
        <f t="shared" si="3"/>
        <v>0</v>
      </c>
      <c r="J9" s="15">
        <f t="shared" si="4"/>
        <v>1</v>
      </c>
    </row>
    <row r="10" spans="1:10" ht="15.75" customHeight="1" x14ac:dyDescent="0.25">
      <c r="A10" s="16">
        <v>34999</v>
      </c>
      <c r="B10" s="12" t="s">
        <v>2103</v>
      </c>
      <c r="C10">
        <f>+COUNTIFS(Table1[[#All],[outcome]],C$1,Table1[[#All],[goal]],"&lt;"&amp;$A10,Table1[[#All],[goal]],"&gt;="&amp;$A9)</f>
        <v>7</v>
      </c>
      <c r="D10">
        <f>+COUNTIFS(Table1[[#All],[outcome]],D$1,Table1[[#All],[goal]],"&lt;"&amp;$A10,Table1[[#All],[goal]],"&gt;="&amp;$A9)</f>
        <v>0</v>
      </c>
      <c r="E10">
        <f>+COUNTIFS(Table1[[#All],[outcome]],E$1,Table1[[#All],[goal]],"&lt;"&amp;$A10,Table1[[#All],[goal]],"&gt;="&amp;$A9)</f>
        <v>0</v>
      </c>
      <c r="F10">
        <f t="shared" si="0"/>
        <v>7</v>
      </c>
      <c r="G10" s="4">
        <f t="shared" si="1"/>
        <v>1</v>
      </c>
      <c r="H10" s="4">
        <f t="shared" si="2"/>
        <v>0</v>
      </c>
      <c r="I10" s="4">
        <f t="shared" si="3"/>
        <v>0</v>
      </c>
      <c r="J10" s="15">
        <f t="shared" si="4"/>
        <v>1</v>
      </c>
    </row>
    <row r="11" spans="1:10" ht="15.75" customHeight="1" x14ac:dyDescent="0.25">
      <c r="A11" s="16">
        <v>39999</v>
      </c>
      <c r="B11" s="12" t="s">
        <v>2104</v>
      </c>
      <c r="C11">
        <f>+COUNTIFS(Table1[[#All],[outcome]],C$1,Table1[[#All],[goal]],"&lt;"&amp;$A11,Table1[[#All],[goal]],"&gt;="&amp;$A10)</f>
        <v>8</v>
      </c>
      <c r="D11">
        <f>+COUNTIFS(Table1[[#All],[outcome]],D$1,Table1[[#All],[goal]],"&lt;"&amp;$A11,Table1[[#All],[goal]],"&gt;="&amp;$A10)</f>
        <v>3</v>
      </c>
      <c r="E11">
        <f>+COUNTIFS(Table1[[#All],[outcome]],E$1,Table1[[#All],[goal]],"&lt;"&amp;$A11,Table1[[#All],[goal]],"&gt;="&amp;$A10)</f>
        <v>1</v>
      </c>
      <c r="F11">
        <f t="shared" si="0"/>
        <v>12</v>
      </c>
      <c r="G11" s="4">
        <f t="shared" si="1"/>
        <v>0.66666666666666663</v>
      </c>
      <c r="H11" s="4">
        <f t="shared" si="2"/>
        <v>0.25</v>
      </c>
      <c r="I11" s="4">
        <f t="shared" si="3"/>
        <v>8.3333333333333329E-2</v>
      </c>
      <c r="J11" s="15">
        <f t="shared" si="4"/>
        <v>1</v>
      </c>
    </row>
    <row r="12" spans="1:10" ht="15.75" customHeight="1" x14ac:dyDescent="0.25">
      <c r="A12" s="16">
        <v>44999</v>
      </c>
      <c r="B12" s="12" t="s">
        <v>2105</v>
      </c>
      <c r="C12">
        <f>+COUNTIFS(Table1[[#All],[outcome]],C$1,Table1[[#All],[goal]],"&lt;"&amp;$A12,Table1[[#All],[goal]],"&gt;="&amp;$A11)</f>
        <v>11</v>
      </c>
      <c r="D12">
        <f>+COUNTIFS(Table1[[#All],[outcome]],D$1,Table1[[#All],[goal]],"&lt;"&amp;$A12,Table1[[#All],[goal]],"&gt;="&amp;$A11)</f>
        <v>3</v>
      </c>
      <c r="E12">
        <f>+COUNTIFS(Table1[[#All],[outcome]],E$1,Table1[[#All],[goal]],"&lt;"&amp;$A12,Table1[[#All],[goal]],"&gt;="&amp;$A11)</f>
        <v>0</v>
      </c>
      <c r="F12">
        <f t="shared" si="0"/>
        <v>14</v>
      </c>
      <c r="G12" s="4">
        <f t="shared" si="1"/>
        <v>0.7857142857142857</v>
      </c>
      <c r="H12" s="4">
        <f t="shared" si="2"/>
        <v>0.21428571428571427</v>
      </c>
      <c r="I12" s="4">
        <f t="shared" si="3"/>
        <v>0</v>
      </c>
      <c r="J12" s="15">
        <f t="shared" si="4"/>
        <v>1</v>
      </c>
    </row>
    <row r="13" spans="1:10" ht="15.75" customHeight="1" x14ac:dyDescent="0.25">
      <c r="A13" s="16">
        <v>49999</v>
      </c>
      <c r="B13" s="12" t="s">
        <v>2106</v>
      </c>
      <c r="C13">
        <f>+COUNTIFS(Table1[[#All],[outcome]],C$1,Table1[[#All],[goal]],"&lt;"&amp;$A13,Table1[[#All],[goal]],"&gt;="&amp;$A12)</f>
        <v>8</v>
      </c>
      <c r="D13">
        <f>+COUNTIFS(Table1[[#All],[outcome]],D$1,Table1[[#All],[goal]],"&lt;"&amp;$A13,Table1[[#All],[goal]],"&gt;="&amp;$A12)</f>
        <v>3</v>
      </c>
      <c r="E13">
        <f>+COUNTIFS(Table1[[#All],[outcome]],E$1,Table1[[#All],[goal]],"&lt;"&amp;$A13,Table1[[#All],[goal]],"&gt;="&amp;$A12)</f>
        <v>0</v>
      </c>
      <c r="F13">
        <f t="shared" si="0"/>
        <v>11</v>
      </c>
      <c r="G13" s="4">
        <f t="shared" si="1"/>
        <v>0.72727272727272729</v>
      </c>
      <c r="H13" s="4">
        <f t="shared" si="2"/>
        <v>0.27272727272727271</v>
      </c>
      <c r="I13" s="4">
        <f t="shared" si="3"/>
        <v>0</v>
      </c>
      <c r="J13" s="15">
        <f t="shared" si="4"/>
        <v>1</v>
      </c>
    </row>
    <row r="14" spans="1:10" ht="15.75" customHeight="1" x14ac:dyDescent="0.25">
      <c r="A14" s="16">
        <v>50000</v>
      </c>
      <c r="B14" s="12" t="s">
        <v>2107</v>
      </c>
      <c r="C14">
        <f>+COUNTIFS(Table1[[#All],[outcome]],C$1,Table1[[#All],[goal]],"&gt;="&amp;$A14)</f>
        <v>114</v>
      </c>
      <c r="D14">
        <f>+COUNTIFS(Table1[[#All],[outcome]],D$1,Table1[[#All],[goal]],"&gt;="&amp;$A14)</f>
        <v>163</v>
      </c>
      <c r="E14">
        <f>+COUNTIFS(Table1[[#All],[outcome]],E$1,Table1[[#All],[goal]],"&gt;="&amp;$A14)</f>
        <v>28</v>
      </c>
      <c r="F14">
        <f t="shared" si="0"/>
        <v>305</v>
      </c>
      <c r="G14" s="4">
        <f t="shared" si="1"/>
        <v>0.3737704918032787</v>
      </c>
      <c r="H14" s="4">
        <f t="shared" si="2"/>
        <v>0.53442622950819674</v>
      </c>
      <c r="I14" s="4">
        <f t="shared" si="3"/>
        <v>9.1803278688524587E-2</v>
      </c>
      <c r="J14" s="15">
        <f t="shared" si="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8BCE-EFE2-4434-BAE8-6D915EFCEE74}">
  <dimension ref="B2:K576"/>
  <sheetViews>
    <sheetView showGridLines="0" workbookViewId="0"/>
  </sheetViews>
  <sheetFormatPr defaultRowHeight="15.75" x14ac:dyDescent="0.25"/>
  <cols>
    <col min="1" max="1" width="3.75" customWidth="1"/>
    <col min="2" max="2" width="29.75" bestFit="1" customWidth="1"/>
    <col min="3" max="3" width="10.125" customWidth="1"/>
    <col min="4" max="4" width="14.625" customWidth="1"/>
    <col min="5" max="5" width="5.375" customWidth="1"/>
    <col min="6" max="6" width="30.375" bestFit="1" customWidth="1"/>
    <col min="7" max="7" width="10.125" customWidth="1"/>
    <col min="8" max="8" width="14.625" customWidth="1"/>
    <col min="10" max="10" width="18.25" bestFit="1" customWidth="1"/>
  </cols>
  <sheetData>
    <row r="2" spans="2:11" x14ac:dyDescent="0.25">
      <c r="B2" t="s">
        <v>2116</v>
      </c>
      <c r="D2" s="6">
        <f>+AVERAGE(D12:D576)</f>
        <v>851.14690265486729</v>
      </c>
      <c r="F2" t="s">
        <v>2116</v>
      </c>
      <c r="H2" s="6">
        <f>+AVERAGE(Table5[Backers_count])</f>
        <v>585.61538461538464</v>
      </c>
    </row>
    <row r="3" spans="2:11" x14ac:dyDescent="0.25">
      <c r="B3" t="s">
        <v>2117</v>
      </c>
      <c r="D3" s="6">
        <f>+MEDIAN(D12:D576)</f>
        <v>201</v>
      </c>
      <c r="F3" t="s">
        <v>2117</v>
      </c>
      <c r="H3" s="6">
        <f>+MEDIAN(Table5[Backers_count])</f>
        <v>114.5</v>
      </c>
    </row>
    <row r="4" spans="2:11" x14ac:dyDescent="0.25">
      <c r="B4" t="s">
        <v>2118</v>
      </c>
      <c r="D4" s="6">
        <f>+MIN(D12:D576)</f>
        <v>16</v>
      </c>
      <c r="F4" t="s">
        <v>2118</v>
      </c>
      <c r="H4" s="6">
        <f>+MIN(Table5[Backers_count])</f>
        <v>0</v>
      </c>
    </row>
    <row r="5" spans="2:11" x14ac:dyDescent="0.25">
      <c r="B5" t="s">
        <v>2119</v>
      </c>
      <c r="D5" s="6">
        <f>+MAX(D12:D576)</f>
        <v>7295</v>
      </c>
      <c r="F5" t="s">
        <v>2119</v>
      </c>
      <c r="H5" s="6">
        <f>+MAX(Table5[Backers_count])</f>
        <v>6080</v>
      </c>
    </row>
    <row r="6" spans="2:11" x14ac:dyDescent="0.25">
      <c r="B6" t="s">
        <v>2120</v>
      </c>
      <c r="D6" s="6">
        <f>+_xlfn.VAR.P(D12:D576)</f>
        <v>1603373.7324019109</v>
      </c>
      <c r="F6" t="s">
        <v>2120</v>
      </c>
      <c r="H6" s="6">
        <f>+_xlfn.VAR.P(Table5[Backers_count])</f>
        <v>921574.68174133555</v>
      </c>
    </row>
    <row r="7" spans="2:11" x14ac:dyDescent="0.25">
      <c r="B7" t="s">
        <v>2121</v>
      </c>
      <c r="D7" s="6">
        <f>+_xlfn.STDEV.P(D12:D576)</f>
        <v>1266.2439466397898</v>
      </c>
      <c r="F7" t="s">
        <v>2121</v>
      </c>
      <c r="H7" s="6">
        <f>+_xlfn.STDEV.P(Table5[Backers_count])</f>
        <v>959.98681331637863</v>
      </c>
    </row>
    <row r="11" spans="2:11" x14ac:dyDescent="0.25">
      <c r="B11" t="s">
        <v>2115</v>
      </c>
      <c r="C11" t="s">
        <v>2113</v>
      </c>
      <c r="D11" t="s">
        <v>2114</v>
      </c>
      <c r="F11" t="s">
        <v>2115</v>
      </c>
      <c r="G11" t="s">
        <v>2113</v>
      </c>
      <c r="H11" t="s">
        <v>2114</v>
      </c>
      <c r="J11" t="s">
        <v>2122</v>
      </c>
      <c r="K11">
        <f>+COUNTIF(Table4[Backers_count],"&gt;"&amp;851)</f>
        <v>162</v>
      </c>
    </row>
    <row r="12" spans="2:11" x14ac:dyDescent="0.25">
      <c r="B12" t="s">
        <v>1433</v>
      </c>
      <c r="C12" t="s">
        <v>20</v>
      </c>
      <c r="D12">
        <v>7295</v>
      </c>
      <c r="F12" t="s">
        <v>12</v>
      </c>
      <c r="G12" t="s">
        <v>14</v>
      </c>
      <c r="H12">
        <v>0</v>
      </c>
      <c r="J12" t="s">
        <v>2123</v>
      </c>
      <c r="K12">
        <f>+COUNTIF(Table4[Backers_count],"&lt;"&amp;851)</f>
        <v>403</v>
      </c>
    </row>
    <row r="13" spans="2:11" x14ac:dyDescent="0.25">
      <c r="B13" t="s">
        <v>550</v>
      </c>
      <c r="C13" t="s">
        <v>20</v>
      </c>
      <c r="D13">
        <v>6465</v>
      </c>
      <c r="F13" t="s">
        <v>29</v>
      </c>
      <c r="G13" t="s">
        <v>14</v>
      </c>
      <c r="H13">
        <v>24</v>
      </c>
    </row>
    <row r="14" spans="2:11" x14ac:dyDescent="0.25">
      <c r="B14" t="s">
        <v>1262</v>
      </c>
      <c r="C14" t="s">
        <v>20</v>
      </c>
      <c r="D14">
        <v>6406</v>
      </c>
      <c r="F14" t="s">
        <v>31</v>
      </c>
      <c r="G14" t="s">
        <v>14</v>
      </c>
      <c r="H14">
        <v>53</v>
      </c>
      <c r="J14" t="s">
        <v>2124</v>
      </c>
      <c r="K14">
        <f>+COUNTIF(Table5[Backers_count],"&gt;"&amp;586)</f>
        <v>111</v>
      </c>
    </row>
    <row r="15" spans="2:11" x14ac:dyDescent="0.25">
      <c r="B15" t="s">
        <v>950</v>
      </c>
      <c r="C15" t="s">
        <v>20</v>
      </c>
      <c r="D15">
        <v>6286</v>
      </c>
      <c r="F15" t="s">
        <v>38</v>
      </c>
      <c r="G15" t="s">
        <v>14</v>
      </c>
      <c r="H15">
        <v>18</v>
      </c>
      <c r="J15" t="s">
        <v>2125</v>
      </c>
      <c r="K15">
        <f>+COUNTIF(Table5[Backers_count],"&lt;"&amp;586)</f>
        <v>253</v>
      </c>
    </row>
    <row r="16" spans="2:11" x14ac:dyDescent="0.25">
      <c r="B16" t="s">
        <v>131</v>
      </c>
      <c r="C16" t="s">
        <v>20</v>
      </c>
      <c r="D16">
        <v>6212</v>
      </c>
      <c r="F16" t="s">
        <v>48</v>
      </c>
      <c r="G16" t="s">
        <v>14</v>
      </c>
      <c r="H16">
        <v>44</v>
      </c>
    </row>
    <row r="17" spans="2:8" x14ac:dyDescent="0.25">
      <c r="B17" t="s">
        <v>792</v>
      </c>
      <c r="C17" t="s">
        <v>20</v>
      </c>
      <c r="D17">
        <v>5966</v>
      </c>
      <c r="F17" t="s">
        <v>54</v>
      </c>
      <c r="G17" t="s">
        <v>14</v>
      </c>
      <c r="H17">
        <v>27</v>
      </c>
    </row>
    <row r="18" spans="2:8" x14ac:dyDescent="0.25">
      <c r="B18" t="s">
        <v>503</v>
      </c>
      <c r="C18" t="s">
        <v>20</v>
      </c>
      <c r="D18">
        <v>5880</v>
      </c>
      <c r="F18" t="s">
        <v>56</v>
      </c>
      <c r="G18" t="s">
        <v>14</v>
      </c>
      <c r="H18">
        <v>55</v>
      </c>
    </row>
    <row r="19" spans="2:8" x14ac:dyDescent="0.25">
      <c r="B19" t="s">
        <v>580</v>
      </c>
      <c r="C19" t="s">
        <v>20</v>
      </c>
      <c r="D19">
        <v>5512</v>
      </c>
      <c r="F19" t="s">
        <v>61</v>
      </c>
      <c r="G19" t="s">
        <v>14</v>
      </c>
      <c r="H19">
        <v>200</v>
      </c>
    </row>
    <row r="20" spans="2:8" x14ac:dyDescent="0.25">
      <c r="B20" t="s">
        <v>109</v>
      </c>
      <c r="C20" t="s">
        <v>20</v>
      </c>
      <c r="D20">
        <v>5419</v>
      </c>
      <c r="F20" t="s">
        <v>63</v>
      </c>
      <c r="G20" t="s">
        <v>14</v>
      </c>
      <c r="H20">
        <v>452</v>
      </c>
    </row>
    <row r="21" spans="2:8" x14ac:dyDescent="0.25">
      <c r="B21" t="s">
        <v>887</v>
      </c>
      <c r="C21" t="s">
        <v>20</v>
      </c>
      <c r="D21">
        <v>5203</v>
      </c>
      <c r="F21" t="s">
        <v>75</v>
      </c>
      <c r="G21" t="s">
        <v>14</v>
      </c>
      <c r="H21">
        <v>674</v>
      </c>
    </row>
    <row r="22" spans="2:8" x14ac:dyDescent="0.25">
      <c r="B22" t="s">
        <v>1180</v>
      </c>
      <c r="C22" t="s">
        <v>20</v>
      </c>
      <c r="D22">
        <v>5180</v>
      </c>
      <c r="F22" t="s">
        <v>79</v>
      </c>
      <c r="G22" t="s">
        <v>14</v>
      </c>
      <c r="H22">
        <v>558</v>
      </c>
    </row>
    <row r="23" spans="2:8" x14ac:dyDescent="0.25">
      <c r="B23" t="s">
        <v>696</v>
      </c>
      <c r="C23" t="s">
        <v>20</v>
      </c>
      <c r="D23">
        <v>5168</v>
      </c>
      <c r="F23" t="s">
        <v>92</v>
      </c>
      <c r="G23" t="s">
        <v>14</v>
      </c>
      <c r="H23">
        <v>15</v>
      </c>
    </row>
    <row r="24" spans="2:8" x14ac:dyDescent="0.25">
      <c r="B24" t="s">
        <v>1579</v>
      </c>
      <c r="C24" t="s">
        <v>20</v>
      </c>
      <c r="D24">
        <v>5139</v>
      </c>
      <c r="F24" t="s">
        <v>105</v>
      </c>
      <c r="G24" t="s">
        <v>14</v>
      </c>
      <c r="H24">
        <v>2307</v>
      </c>
    </row>
    <row r="25" spans="2:8" x14ac:dyDescent="0.25">
      <c r="B25" t="s">
        <v>820</v>
      </c>
      <c r="C25" t="s">
        <v>20</v>
      </c>
      <c r="D25">
        <v>4799</v>
      </c>
      <c r="F25" t="s">
        <v>123</v>
      </c>
      <c r="G25" t="s">
        <v>14</v>
      </c>
      <c r="H25">
        <v>88</v>
      </c>
    </row>
    <row r="26" spans="2:8" x14ac:dyDescent="0.25">
      <c r="B26" t="s">
        <v>458</v>
      </c>
      <c r="C26" t="s">
        <v>20</v>
      </c>
      <c r="D26">
        <v>4498</v>
      </c>
      <c r="F26" t="s">
        <v>136</v>
      </c>
      <c r="G26" t="s">
        <v>14</v>
      </c>
      <c r="H26">
        <v>48</v>
      </c>
    </row>
    <row r="27" spans="2:8" x14ac:dyDescent="0.25">
      <c r="B27" t="s">
        <v>1780</v>
      </c>
      <c r="C27" t="s">
        <v>20</v>
      </c>
      <c r="D27">
        <v>4358</v>
      </c>
      <c r="F27" t="s">
        <v>146</v>
      </c>
      <c r="G27" t="s">
        <v>14</v>
      </c>
      <c r="H27">
        <v>1</v>
      </c>
    </row>
    <row r="28" spans="2:8" x14ac:dyDescent="0.25">
      <c r="B28" t="s">
        <v>479</v>
      </c>
      <c r="C28" t="s">
        <v>20</v>
      </c>
      <c r="D28">
        <v>4289</v>
      </c>
      <c r="F28" t="s">
        <v>149</v>
      </c>
      <c r="G28" t="s">
        <v>14</v>
      </c>
      <c r="H28">
        <v>1467</v>
      </c>
    </row>
    <row r="29" spans="2:8" x14ac:dyDescent="0.25">
      <c r="B29" t="s">
        <v>1695</v>
      </c>
      <c r="C29" t="s">
        <v>20</v>
      </c>
      <c r="D29">
        <v>4233</v>
      </c>
      <c r="F29" t="s">
        <v>151</v>
      </c>
      <c r="G29" t="s">
        <v>14</v>
      </c>
      <c r="H29">
        <v>75</v>
      </c>
    </row>
    <row r="30" spans="2:8" x14ac:dyDescent="0.25">
      <c r="B30" t="s">
        <v>182</v>
      </c>
      <c r="C30" t="s">
        <v>20</v>
      </c>
      <c r="D30">
        <v>4065</v>
      </c>
      <c r="F30" t="s">
        <v>155</v>
      </c>
      <c r="G30" t="s">
        <v>14</v>
      </c>
      <c r="H30">
        <v>120</v>
      </c>
    </row>
    <row r="31" spans="2:8" x14ac:dyDescent="0.25">
      <c r="B31" t="s">
        <v>1228</v>
      </c>
      <c r="C31" t="s">
        <v>20</v>
      </c>
      <c r="D31">
        <v>4006</v>
      </c>
      <c r="F31" t="s">
        <v>170</v>
      </c>
      <c r="G31" t="s">
        <v>14</v>
      </c>
      <c r="H31">
        <v>2253</v>
      </c>
    </row>
    <row r="32" spans="2:8" x14ac:dyDescent="0.25">
      <c r="B32" t="s">
        <v>1848</v>
      </c>
      <c r="C32" t="s">
        <v>20</v>
      </c>
      <c r="D32">
        <v>3934</v>
      </c>
      <c r="F32" t="s">
        <v>174</v>
      </c>
      <c r="G32" t="s">
        <v>14</v>
      </c>
      <c r="H32">
        <v>5</v>
      </c>
    </row>
    <row r="33" spans="2:8" x14ac:dyDescent="0.25">
      <c r="B33" t="s">
        <v>1888</v>
      </c>
      <c r="C33" t="s">
        <v>20</v>
      </c>
      <c r="D33">
        <v>3777</v>
      </c>
      <c r="F33" t="s">
        <v>176</v>
      </c>
      <c r="G33" t="s">
        <v>14</v>
      </c>
      <c r="H33">
        <v>38</v>
      </c>
    </row>
    <row r="34" spans="2:8" x14ac:dyDescent="0.25">
      <c r="B34" t="s">
        <v>676</v>
      </c>
      <c r="C34" t="s">
        <v>20</v>
      </c>
      <c r="D34">
        <v>3742</v>
      </c>
      <c r="F34" t="s">
        <v>180</v>
      </c>
      <c r="G34" t="s">
        <v>14</v>
      </c>
      <c r="H34">
        <v>12</v>
      </c>
    </row>
    <row r="35" spans="2:8" x14ac:dyDescent="0.25">
      <c r="B35" t="s">
        <v>958</v>
      </c>
      <c r="C35" t="s">
        <v>20</v>
      </c>
      <c r="D35">
        <v>3727</v>
      </c>
      <c r="F35" t="s">
        <v>200</v>
      </c>
      <c r="G35" t="s">
        <v>14</v>
      </c>
      <c r="H35">
        <v>1684</v>
      </c>
    </row>
    <row r="36" spans="2:8" x14ac:dyDescent="0.25">
      <c r="B36" t="s">
        <v>1063</v>
      </c>
      <c r="C36" t="s">
        <v>20</v>
      </c>
      <c r="D36">
        <v>3657</v>
      </c>
      <c r="F36" t="s">
        <v>202</v>
      </c>
      <c r="G36" t="s">
        <v>14</v>
      </c>
      <c r="H36">
        <v>56</v>
      </c>
    </row>
    <row r="37" spans="2:8" x14ac:dyDescent="0.25">
      <c r="B37" t="s">
        <v>1174</v>
      </c>
      <c r="C37" t="s">
        <v>20</v>
      </c>
      <c r="D37">
        <v>3596</v>
      </c>
      <c r="F37" t="s">
        <v>207</v>
      </c>
      <c r="G37" t="s">
        <v>14</v>
      </c>
      <c r="H37">
        <v>838</v>
      </c>
    </row>
    <row r="38" spans="2:8" x14ac:dyDescent="0.25">
      <c r="B38" t="s">
        <v>501</v>
      </c>
      <c r="C38" t="s">
        <v>20</v>
      </c>
      <c r="D38">
        <v>3594</v>
      </c>
      <c r="F38" t="s">
        <v>215</v>
      </c>
      <c r="G38" t="s">
        <v>14</v>
      </c>
      <c r="H38">
        <v>1000</v>
      </c>
    </row>
    <row r="39" spans="2:8" x14ac:dyDescent="0.25">
      <c r="B39" t="s">
        <v>410</v>
      </c>
      <c r="C39" t="s">
        <v>20</v>
      </c>
      <c r="D39">
        <v>3537</v>
      </c>
      <c r="F39" t="s">
        <v>223</v>
      </c>
      <c r="G39" t="s">
        <v>14</v>
      </c>
      <c r="H39">
        <v>1482</v>
      </c>
    </row>
    <row r="40" spans="2:8" x14ac:dyDescent="0.25">
      <c r="B40" t="s">
        <v>1713</v>
      </c>
      <c r="C40" t="s">
        <v>20</v>
      </c>
      <c r="D40">
        <v>3533</v>
      </c>
      <c r="F40" t="s">
        <v>229</v>
      </c>
      <c r="G40" t="s">
        <v>14</v>
      </c>
      <c r="H40">
        <v>106</v>
      </c>
    </row>
    <row r="41" spans="2:8" x14ac:dyDescent="0.25">
      <c r="B41" t="s">
        <v>1528</v>
      </c>
      <c r="C41" t="s">
        <v>20</v>
      </c>
      <c r="D41">
        <v>3388</v>
      </c>
      <c r="F41" t="s">
        <v>231</v>
      </c>
      <c r="G41" t="s">
        <v>14</v>
      </c>
      <c r="H41">
        <v>679</v>
      </c>
    </row>
    <row r="42" spans="2:8" x14ac:dyDescent="0.25">
      <c r="B42" t="s">
        <v>356</v>
      </c>
      <c r="C42" t="s">
        <v>20</v>
      </c>
      <c r="D42">
        <v>3376</v>
      </c>
      <c r="F42" t="s">
        <v>245</v>
      </c>
      <c r="G42" t="s">
        <v>14</v>
      </c>
      <c r="H42">
        <v>1220</v>
      </c>
    </row>
    <row r="43" spans="2:8" x14ac:dyDescent="0.25">
      <c r="B43" t="s">
        <v>416</v>
      </c>
      <c r="C43" t="s">
        <v>20</v>
      </c>
      <c r="D43">
        <v>3318</v>
      </c>
      <c r="F43" t="s">
        <v>249</v>
      </c>
      <c r="G43" t="s">
        <v>14</v>
      </c>
      <c r="H43">
        <v>1</v>
      </c>
    </row>
    <row r="44" spans="2:8" x14ac:dyDescent="0.25">
      <c r="B44" t="s">
        <v>1603</v>
      </c>
      <c r="C44" t="s">
        <v>20</v>
      </c>
      <c r="D44">
        <v>3308</v>
      </c>
      <c r="F44" t="s">
        <v>255</v>
      </c>
      <c r="G44" t="s">
        <v>14</v>
      </c>
      <c r="H44">
        <v>37</v>
      </c>
    </row>
    <row r="45" spans="2:8" x14ac:dyDescent="0.25">
      <c r="B45" t="s">
        <v>1762</v>
      </c>
      <c r="C45" t="s">
        <v>20</v>
      </c>
      <c r="D45">
        <v>3272</v>
      </c>
      <c r="F45" t="s">
        <v>267</v>
      </c>
      <c r="G45" t="s">
        <v>14</v>
      </c>
      <c r="H45">
        <v>60</v>
      </c>
    </row>
    <row r="46" spans="2:8" x14ac:dyDescent="0.25">
      <c r="B46" t="s">
        <v>1544</v>
      </c>
      <c r="C46" t="s">
        <v>20</v>
      </c>
      <c r="D46">
        <v>3205</v>
      </c>
      <c r="F46" t="s">
        <v>270</v>
      </c>
      <c r="G46" t="s">
        <v>14</v>
      </c>
      <c r="H46">
        <v>296</v>
      </c>
    </row>
    <row r="47" spans="2:8" x14ac:dyDescent="0.25">
      <c r="B47" t="s">
        <v>1164</v>
      </c>
      <c r="C47" t="s">
        <v>20</v>
      </c>
      <c r="D47">
        <v>3177</v>
      </c>
      <c r="F47" t="s">
        <v>280</v>
      </c>
      <c r="G47" t="s">
        <v>14</v>
      </c>
      <c r="H47">
        <v>3304</v>
      </c>
    </row>
    <row r="48" spans="2:8" x14ac:dyDescent="0.25">
      <c r="B48" t="s">
        <v>929</v>
      </c>
      <c r="C48" t="s">
        <v>20</v>
      </c>
      <c r="D48">
        <v>3131</v>
      </c>
      <c r="F48" t="s">
        <v>282</v>
      </c>
      <c r="G48" t="s">
        <v>14</v>
      </c>
      <c r="H48">
        <v>73</v>
      </c>
    </row>
    <row r="49" spans="2:8" x14ac:dyDescent="0.25">
      <c r="B49" t="s">
        <v>556</v>
      </c>
      <c r="C49" t="s">
        <v>20</v>
      </c>
      <c r="D49">
        <v>3116</v>
      </c>
      <c r="F49" t="s">
        <v>295</v>
      </c>
      <c r="G49" t="s">
        <v>14</v>
      </c>
      <c r="H49">
        <v>3387</v>
      </c>
    </row>
    <row r="50" spans="2:8" x14ac:dyDescent="0.25">
      <c r="B50" t="s">
        <v>1304</v>
      </c>
      <c r="C50" t="s">
        <v>20</v>
      </c>
      <c r="D50">
        <v>3063</v>
      </c>
      <c r="F50" t="s">
        <v>297</v>
      </c>
      <c r="G50" t="s">
        <v>14</v>
      </c>
      <c r="H50">
        <v>662</v>
      </c>
    </row>
    <row r="51" spans="2:8" x14ac:dyDescent="0.25">
      <c r="B51" t="s">
        <v>838</v>
      </c>
      <c r="C51" t="s">
        <v>20</v>
      </c>
      <c r="D51">
        <v>3059</v>
      </c>
      <c r="F51" t="s">
        <v>303</v>
      </c>
      <c r="G51" t="s">
        <v>14</v>
      </c>
      <c r="H51">
        <v>774</v>
      </c>
    </row>
    <row r="52" spans="2:8" x14ac:dyDescent="0.25">
      <c r="B52" t="s">
        <v>1482</v>
      </c>
      <c r="C52" t="s">
        <v>20</v>
      </c>
      <c r="D52">
        <v>3036</v>
      </c>
      <c r="F52" t="s">
        <v>305</v>
      </c>
      <c r="G52" t="s">
        <v>14</v>
      </c>
      <c r="H52">
        <v>672</v>
      </c>
    </row>
    <row r="53" spans="2:8" x14ac:dyDescent="0.25">
      <c r="B53" t="s">
        <v>1350</v>
      </c>
      <c r="C53" t="s">
        <v>20</v>
      </c>
      <c r="D53">
        <v>3016</v>
      </c>
      <c r="F53" t="s">
        <v>320</v>
      </c>
      <c r="G53" t="s">
        <v>14</v>
      </c>
      <c r="H53">
        <v>940</v>
      </c>
    </row>
    <row r="54" spans="2:8" x14ac:dyDescent="0.25">
      <c r="B54" t="s">
        <v>1141</v>
      </c>
      <c r="C54" t="s">
        <v>20</v>
      </c>
      <c r="D54">
        <v>2985</v>
      </c>
      <c r="F54" t="s">
        <v>322</v>
      </c>
      <c r="G54" t="s">
        <v>14</v>
      </c>
      <c r="H54">
        <v>117</v>
      </c>
    </row>
    <row r="55" spans="2:8" x14ac:dyDescent="0.25">
      <c r="B55" t="s">
        <v>1435</v>
      </c>
      <c r="C55" t="s">
        <v>20</v>
      </c>
      <c r="D55">
        <v>2893</v>
      </c>
      <c r="F55" t="s">
        <v>328</v>
      </c>
      <c r="G55" t="s">
        <v>14</v>
      </c>
      <c r="H55">
        <v>115</v>
      </c>
    </row>
    <row r="56" spans="2:8" x14ac:dyDescent="0.25">
      <c r="B56" t="s">
        <v>772</v>
      </c>
      <c r="C56" t="s">
        <v>20</v>
      </c>
      <c r="D56">
        <v>2875</v>
      </c>
      <c r="F56" t="s">
        <v>330</v>
      </c>
      <c r="G56" t="s">
        <v>14</v>
      </c>
      <c r="H56">
        <v>326</v>
      </c>
    </row>
    <row r="57" spans="2:8" x14ac:dyDescent="0.25">
      <c r="B57" t="s">
        <v>1250</v>
      </c>
      <c r="C57" t="s">
        <v>20</v>
      </c>
      <c r="D57">
        <v>2857</v>
      </c>
      <c r="F57" t="s">
        <v>352</v>
      </c>
      <c r="G57" t="s">
        <v>14</v>
      </c>
      <c r="H57">
        <v>1</v>
      </c>
    </row>
    <row r="58" spans="2:8" x14ac:dyDescent="0.25">
      <c r="B58" t="s">
        <v>1658</v>
      </c>
      <c r="C58" t="s">
        <v>20</v>
      </c>
      <c r="D58">
        <v>2805</v>
      </c>
      <c r="F58" t="s">
        <v>354</v>
      </c>
      <c r="G58" t="s">
        <v>14</v>
      </c>
      <c r="H58">
        <v>1467</v>
      </c>
    </row>
    <row r="59" spans="2:8" x14ac:dyDescent="0.25">
      <c r="B59" t="s">
        <v>586</v>
      </c>
      <c r="C59" t="s">
        <v>20</v>
      </c>
      <c r="D59">
        <v>2768</v>
      </c>
      <c r="F59" t="s">
        <v>358</v>
      </c>
      <c r="G59" t="s">
        <v>14</v>
      </c>
      <c r="H59">
        <v>5681</v>
      </c>
    </row>
    <row r="60" spans="2:8" x14ac:dyDescent="0.25">
      <c r="B60" t="s">
        <v>1003</v>
      </c>
      <c r="C60" t="s">
        <v>20</v>
      </c>
      <c r="D60">
        <v>2756</v>
      </c>
      <c r="F60" t="s">
        <v>360</v>
      </c>
      <c r="G60" t="s">
        <v>14</v>
      </c>
      <c r="H60">
        <v>1059</v>
      </c>
    </row>
    <row r="61" spans="2:8" x14ac:dyDescent="0.25">
      <c r="B61" t="s">
        <v>406</v>
      </c>
      <c r="C61" t="s">
        <v>20</v>
      </c>
      <c r="D61">
        <v>2739</v>
      </c>
      <c r="F61" t="s">
        <v>362</v>
      </c>
      <c r="G61" t="s">
        <v>14</v>
      </c>
      <c r="H61">
        <v>1194</v>
      </c>
    </row>
    <row r="62" spans="2:8" x14ac:dyDescent="0.25">
      <c r="B62" t="s">
        <v>1184</v>
      </c>
      <c r="C62" t="s">
        <v>20</v>
      </c>
      <c r="D62">
        <v>2725</v>
      </c>
      <c r="F62" t="s">
        <v>366</v>
      </c>
      <c r="G62" t="s">
        <v>14</v>
      </c>
      <c r="H62">
        <v>30</v>
      </c>
    </row>
    <row r="63" spans="2:8" x14ac:dyDescent="0.25">
      <c r="B63" t="s">
        <v>1288</v>
      </c>
      <c r="C63" t="s">
        <v>20</v>
      </c>
      <c r="D63">
        <v>2693</v>
      </c>
      <c r="F63" t="s">
        <v>374</v>
      </c>
      <c r="G63" t="s">
        <v>14</v>
      </c>
      <c r="H63">
        <v>75</v>
      </c>
    </row>
    <row r="64" spans="2:8" x14ac:dyDescent="0.25">
      <c r="B64" t="s">
        <v>85</v>
      </c>
      <c r="C64" t="s">
        <v>20</v>
      </c>
      <c r="D64">
        <v>2673</v>
      </c>
      <c r="F64" t="s">
        <v>388</v>
      </c>
      <c r="G64" t="s">
        <v>14</v>
      </c>
      <c r="H64">
        <v>955</v>
      </c>
    </row>
    <row r="65" spans="2:8" x14ac:dyDescent="0.25">
      <c r="B65" t="s">
        <v>1741</v>
      </c>
      <c r="C65" t="s">
        <v>20</v>
      </c>
      <c r="D65">
        <v>2662</v>
      </c>
      <c r="F65" t="s">
        <v>392</v>
      </c>
      <c r="G65" t="s">
        <v>14</v>
      </c>
      <c r="H65">
        <v>67</v>
      </c>
    </row>
    <row r="66" spans="2:8" x14ac:dyDescent="0.25">
      <c r="B66" t="s">
        <v>510</v>
      </c>
      <c r="C66" t="s">
        <v>20</v>
      </c>
      <c r="D66">
        <v>2551</v>
      </c>
      <c r="F66" t="s">
        <v>394</v>
      </c>
      <c r="G66" t="s">
        <v>14</v>
      </c>
      <c r="H66">
        <v>5</v>
      </c>
    </row>
    <row r="67" spans="2:8" x14ac:dyDescent="0.25">
      <c r="B67" t="s">
        <v>1059</v>
      </c>
      <c r="C67" t="s">
        <v>20</v>
      </c>
      <c r="D67">
        <v>2528</v>
      </c>
      <c r="F67" t="s">
        <v>396</v>
      </c>
      <c r="G67" t="s">
        <v>14</v>
      </c>
      <c r="H67">
        <v>26</v>
      </c>
    </row>
    <row r="68" spans="2:8" x14ac:dyDescent="0.25">
      <c r="B68" t="s">
        <v>903</v>
      </c>
      <c r="C68" t="s">
        <v>20</v>
      </c>
      <c r="D68">
        <v>2526</v>
      </c>
      <c r="F68" t="s">
        <v>402</v>
      </c>
      <c r="G68" t="s">
        <v>14</v>
      </c>
      <c r="H68">
        <v>1130</v>
      </c>
    </row>
    <row r="69" spans="2:8" x14ac:dyDescent="0.25">
      <c r="B69" t="s">
        <v>382</v>
      </c>
      <c r="C69" t="s">
        <v>20</v>
      </c>
      <c r="D69">
        <v>2506</v>
      </c>
      <c r="F69" t="s">
        <v>404</v>
      </c>
      <c r="H69">
        <v>782</v>
      </c>
    </row>
    <row r="70" spans="2:8" x14ac:dyDescent="0.25">
      <c r="B70" t="s">
        <v>1668</v>
      </c>
      <c r="C70" t="s">
        <v>20</v>
      </c>
      <c r="D70">
        <v>2489</v>
      </c>
      <c r="F70" t="s">
        <v>408</v>
      </c>
      <c r="H70">
        <v>210</v>
      </c>
    </row>
    <row r="71" spans="2:8" x14ac:dyDescent="0.25">
      <c r="B71" t="s">
        <v>188</v>
      </c>
      <c r="C71" t="s">
        <v>20</v>
      </c>
      <c r="D71">
        <v>2475</v>
      </c>
      <c r="F71" t="s">
        <v>414</v>
      </c>
      <c r="H71">
        <v>136</v>
      </c>
    </row>
    <row r="72" spans="2:8" x14ac:dyDescent="0.25">
      <c r="B72" t="s">
        <v>508</v>
      </c>
      <c r="C72" t="s">
        <v>20</v>
      </c>
      <c r="D72">
        <v>2468</v>
      </c>
      <c r="F72" t="s">
        <v>418</v>
      </c>
      <c r="H72">
        <v>86</v>
      </c>
    </row>
    <row r="73" spans="2:8" x14ac:dyDescent="0.25">
      <c r="B73" t="s">
        <v>313</v>
      </c>
      <c r="C73" t="s">
        <v>20</v>
      </c>
      <c r="D73">
        <v>2443</v>
      </c>
      <c r="F73" t="s">
        <v>422</v>
      </c>
      <c r="H73">
        <v>19</v>
      </c>
    </row>
    <row r="74" spans="2:8" x14ac:dyDescent="0.25">
      <c r="B74" t="s">
        <v>1030</v>
      </c>
      <c r="C74" t="s">
        <v>20</v>
      </c>
      <c r="D74">
        <v>2443</v>
      </c>
      <c r="F74" t="s">
        <v>424</v>
      </c>
      <c r="H74">
        <v>886</v>
      </c>
    </row>
    <row r="75" spans="2:8" x14ac:dyDescent="0.25">
      <c r="B75" t="s">
        <v>708</v>
      </c>
      <c r="C75" t="s">
        <v>20</v>
      </c>
      <c r="D75">
        <v>2441</v>
      </c>
      <c r="F75" t="s">
        <v>428</v>
      </c>
      <c r="H75">
        <v>35</v>
      </c>
    </row>
    <row r="76" spans="2:8" x14ac:dyDescent="0.25">
      <c r="B76" t="s">
        <v>976</v>
      </c>
      <c r="C76" t="s">
        <v>20</v>
      </c>
      <c r="D76">
        <v>2436</v>
      </c>
      <c r="F76" t="s">
        <v>432</v>
      </c>
      <c r="H76">
        <v>24</v>
      </c>
    </row>
    <row r="77" spans="2:8" x14ac:dyDescent="0.25">
      <c r="B77" t="s">
        <v>142</v>
      </c>
      <c r="C77" t="s">
        <v>20</v>
      </c>
      <c r="D77">
        <v>2431</v>
      </c>
      <c r="F77" t="s">
        <v>434</v>
      </c>
      <c r="H77">
        <v>86</v>
      </c>
    </row>
    <row r="78" spans="2:8" x14ac:dyDescent="0.25">
      <c r="B78" t="s">
        <v>1792</v>
      </c>
      <c r="C78" t="s">
        <v>20</v>
      </c>
      <c r="D78">
        <v>2414</v>
      </c>
      <c r="F78" t="s">
        <v>436</v>
      </c>
      <c r="H78">
        <v>243</v>
      </c>
    </row>
    <row r="79" spans="2:8" x14ac:dyDescent="0.25">
      <c r="B79" t="s">
        <v>1238</v>
      </c>
      <c r="C79" t="s">
        <v>20</v>
      </c>
      <c r="D79">
        <v>2409</v>
      </c>
      <c r="F79" t="s">
        <v>438</v>
      </c>
      <c r="H79">
        <v>65</v>
      </c>
    </row>
    <row r="80" spans="2:8" x14ac:dyDescent="0.25">
      <c r="B80" t="s">
        <v>1581</v>
      </c>
      <c r="C80" t="s">
        <v>20</v>
      </c>
      <c r="D80">
        <v>2353</v>
      </c>
      <c r="F80" t="s">
        <v>444</v>
      </c>
      <c r="H80">
        <v>100</v>
      </c>
    </row>
    <row r="81" spans="2:8" x14ac:dyDescent="0.25">
      <c r="B81" t="s">
        <v>1021</v>
      </c>
      <c r="C81" t="s">
        <v>20</v>
      </c>
      <c r="D81">
        <v>2346</v>
      </c>
      <c r="F81" t="s">
        <v>448</v>
      </c>
      <c r="H81">
        <v>168</v>
      </c>
    </row>
    <row r="82" spans="2:8" x14ac:dyDescent="0.25">
      <c r="B82" t="s">
        <v>241</v>
      </c>
      <c r="C82" t="s">
        <v>20</v>
      </c>
      <c r="D82">
        <v>2331</v>
      </c>
      <c r="F82" t="s">
        <v>450</v>
      </c>
      <c r="H82">
        <v>13</v>
      </c>
    </row>
    <row r="83" spans="2:8" x14ac:dyDescent="0.25">
      <c r="B83" t="s">
        <v>1994</v>
      </c>
      <c r="C83" t="s">
        <v>20</v>
      </c>
      <c r="D83">
        <v>2326</v>
      </c>
      <c r="F83" t="s">
        <v>452</v>
      </c>
      <c r="H83">
        <v>1</v>
      </c>
    </row>
    <row r="84" spans="2:8" x14ac:dyDescent="0.25">
      <c r="B84" t="s">
        <v>1774</v>
      </c>
      <c r="C84" t="s">
        <v>20</v>
      </c>
      <c r="D84">
        <v>2320</v>
      </c>
      <c r="F84" t="s">
        <v>460</v>
      </c>
      <c r="H84">
        <v>40</v>
      </c>
    </row>
    <row r="85" spans="2:8" x14ac:dyDescent="0.25">
      <c r="B85" t="s">
        <v>927</v>
      </c>
      <c r="C85" t="s">
        <v>20</v>
      </c>
      <c r="D85">
        <v>2293</v>
      </c>
      <c r="F85" t="s">
        <v>472</v>
      </c>
      <c r="H85">
        <v>226</v>
      </c>
    </row>
    <row r="86" spans="2:8" x14ac:dyDescent="0.25">
      <c r="B86" t="s">
        <v>1880</v>
      </c>
      <c r="C86" t="s">
        <v>20</v>
      </c>
      <c r="D86">
        <v>2289</v>
      </c>
      <c r="F86" t="s">
        <v>475</v>
      </c>
      <c r="H86">
        <v>1625</v>
      </c>
    </row>
    <row r="87" spans="2:8" x14ac:dyDescent="0.25">
      <c r="B87" t="s">
        <v>722</v>
      </c>
      <c r="C87" t="s">
        <v>20</v>
      </c>
      <c r="D87">
        <v>2283</v>
      </c>
      <c r="F87" t="s">
        <v>483</v>
      </c>
      <c r="H87">
        <v>143</v>
      </c>
    </row>
    <row r="88" spans="2:8" x14ac:dyDescent="0.25">
      <c r="B88" t="s">
        <v>1312</v>
      </c>
      <c r="C88" t="s">
        <v>20</v>
      </c>
      <c r="D88">
        <v>2266</v>
      </c>
      <c r="F88" t="s">
        <v>487</v>
      </c>
      <c r="H88">
        <v>934</v>
      </c>
    </row>
    <row r="89" spans="2:8" x14ac:dyDescent="0.25">
      <c r="B89" t="s">
        <v>1876</v>
      </c>
      <c r="C89" t="s">
        <v>20</v>
      </c>
      <c r="D89">
        <v>2261</v>
      </c>
      <c r="F89" t="s">
        <v>493</v>
      </c>
      <c r="H89">
        <v>17</v>
      </c>
    </row>
    <row r="90" spans="2:8" x14ac:dyDescent="0.25">
      <c r="B90" t="s">
        <v>859</v>
      </c>
      <c r="C90" t="s">
        <v>20</v>
      </c>
      <c r="D90">
        <v>2237</v>
      </c>
      <c r="F90" t="s">
        <v>495</v>
      </c>
      <c r="H90">
        <v>2179</v>
      </c>
    </row>
    <row r="91" spans="2:8" x14ac:dyDescent="0.25">
      <c r="B91" t="s">
        <v>1256</v>
      </c>
      <c r="C91" t="s">
        <v>20</v>
      </c>
      <c r="D91">
        <v>2230</v>
      </c>
      <c r="F91" t="s">
        <v>499</v>
      </c>
      <c r="H91">
        <v>931</v>
      </c>
    </row>
    <row r="92" spans="2:8" x14ac:dyDescent="0.25">
      <c r="B92" t="s">
        <v>94</v>
      </c>
      <c r="C92" t="s">
        <v>20</v>
      </c>
      <c r="D92">
        <v>2220</v>
      </c>
      <c r="F92" t="s">
        <v>522</v>
      </c>
      <c r="H92">
        <v>92</v>
      </c>
    </row>
    <row r="93" spans="2:8" x14ac:dyDescent="0.25">
      <c r="B93" t="s">
        <v>1111</v>
      </c>
      <c r="C93" t="s">
        <v>20</v>
      </c>
      <c r="D93">
        <v>2218</v>
      </c>
      <c r="F93" t="s">
        <v>524</v>
      </c>
      <c r="H93">
        <v>57</v>
      </c>
    </row>
    <row r="94" spans="2:8" x14ac:dyDescent="0.25">
      <c r="B94" t="s">
        <v>1236</v>
      </c>
      <c r="C94" t="s">
        <v>20</v>
      </c>
      <c r="D94">
        <v>2188</v>
      </c>
      <c r="F94" t="s">
        <v>530</v>
      </c>
      <c r="H94">
        <v>41</v>
      </c>
    </row>
    <row r="95" spans="2:8" x14ac:dyDescent="0.25">
      <c r="B95" t="s">
        <v>1284</v>
      </c>
      <c r="C95" t="s">
        <v>20</v>
      </c>
      <c r="D95">
        <v>2144</v>
      </c>
      <c r="F95" t="s">
        <v>552</v>
      </c>
      <c r="H95">
        <v>1</v>
      </c>
    </row>
    <row r="96" spans="2:8" x14ac:dyDescent="0.25">
      <c r="B96" t="s">
        <v>964</v>
      </c>
      <c r="C96" t="s">
        <v>20</v>
      </c>
      <c r="D96">
        <v>2120</v>
      </c>
      <c r="F96" t="s">
        <v>554</v>
      </c>
      <c r="H96">
        <v>101</v>
      </c>
    </row>
    <row r="97" spans="2:8" x14ac:dyDescent="0.25">
      <c r="B97" t="s">
        <v>412</v>
      </c>
      <c r="C97" t="s">
        <v>20</v>
      </c>
      <c r="D97">
        <v>2107</v>
      </c>
      <c r="F97" t="s">
        <v>558</v>
      </c>
      <c r="H97">
        <v>1335</v>
      </c>
    </row>
    <row r="98" spans="2:8" x14ac:dyDescent="0.25">
      <c r="B98" t="s">
        <v>798</v>
      </c>
      <c r="C98" t="s">
        <v>20</v>
      </c>
      <c r="D98">
        <v>2106</v>
      </c>
      <c r="F98" t="s">
        <v>564</v>
      </c>
      <c r="H98">
        <v>15</v>
      </c>
    </row>
    <row r="99" spans="2:8" x14ac:dyDescent="0.25">
      <c r="B99" t="s">
        <v>974</v>
      </c>
      <c r="C99" t="s">
        <v>20</v>
      </c>
      <c r="D99">
        <v>2105</v>
      </c>
      <c r="F99" t="s">
        <v>574</v>
      </c>
      <c r="H99">
        <v>454</v>
      </c>
    </row>
    <row r="100" spans="2:8" x14ac:dyDescent="0.25">
      <c r="B100" t="s">
        <v>1677</v>
      </c>
      <c r="C100" t="s">
        <v>20</v>
      </c>
      <c r="D100">
        <v>2100</v>
      </c>
      <c r="F100" t="s">
        <v>584</v>
      </c>
      <c r="H100">
        <v>3182</v>
      </c>
    </row>
    <row r="101" spans="2:8" x14ac:dyDescent="0.25">
      <c r="B101" t="s">
        <v>970</v>
      </c>
      <c r="C101" t="s">
        <v>20</v>
      </c>
      <c r="D101">
        <v>2080</v>
      </c>
      <c r="F101" t="s">
        <v>600</v>
      </c>
      <c r="H101">
        <v>15</v>
      </c>
    </row>
    <row r="102" spans="2:8" x14ac:dyDescent="0.25">
      <c r="B102" t="s">
        <v>468</v>
      </c>
      <c r="C102" t="s">
        <v>20</v>
      </c>
      <c r="D102">
        <v>2053</v>
      </c>
      <c r="F102" t="s">
        <v>604</v>
      </c>
      <c r="H102">
        <v>133</v>
      </c>
    </row>
    <row r="103" spans="2:8" x14ac:dyDescent="0.25">
      <c r="B103" t="s">
        <v>2017</v>
      </c>
      <c r="C103" t="s">
        <v>20</v>
      </c>
      <c r="D103">
        <v>2043</v>
      </c>
      <c r="F103" t="s">
        <v>614</v>
      </c>
      <c r="H103">
        <v>2062</v>
      </c>
    </row>
    <row r="104" spans="2:8" x14ac:dyDescent="0.25">
      <c r="B104" t="s">
        <v>1444</v>
      </c>
      <c r="C104" t="s">
        <v>20</v>
      </c>
      <c r="D104">
        <v>2038</v>
      </c>
      <c r="F104" t="s">
        <v>618</v>
      </c>
      <c r="H104">
        <v>29</v>
      </c>
    </row>
    <row r="105" spans="2:8" x14ac:dyDescent="0.25">
      <c r="B105" t="s">
        <v>754</v>
      </c>
      <c r="C105" t="s">
        <v>20</v>
      </c>
      <c r="D105">
        <v>2013</v>
      </c>
      <c r="F105" t="s">
        <v>620</v>
      </c>
      <c r="H105">
        <v>132</v>
      </c>
    </row>
    <row r="106" spans="2:8" x14ac:dyDescent="0.25">
      <c r="B106" t="s">
        <v>1508</v>
      </c>
      <c r="C106" t="s">
        <v>20</v>
      </c>
      <c r="D106">
        <v>1991</v>
      </c>
      <c r="F106" t="s">
        <v>628</v>
      </c>
      <c r="H106">
        <v>137</v>
      </c>
    </row>
    <row r="107" spans="2:8" x14ac:dyDescent="0.25">
      <c r="B107" t="s">
        <v>446</v>
      </c>
      <c r="C107" t="s">
        <v>20</v>
      </c>
      <c r="D107">
        <v>1989</v>
      </c>
      <c r="F107" t="s">
        <v>632</v>
      </c>
      <c r="H107">
        <v>908</v>
      </c>
    </row>
    <row r="108" spans="2:8" x14ac:dyDescent="0.25">
      <c r="B108" t="s">
        <v>113</v>
      </c>
      <c r="C108" t="s">
        <v>20</v>
      </c>
      <c r="D108">
        <v>1965</v>
      </c>
      <c r="F108" t="s">
        <v>636</v>
      </c>
      <c r="H108">
        <v>10</v>
      </c>
    </row>
    <row r="109" spans="2:8" x14ac:dyDescent="0.25">
      <c r="B109" t="s">
        <v>257</v>
      </c>
      <c r="C109" t="s">
        <v>20</v>
      </c>
      <c r="D109">
        <v>1917</v>
      </c>
      <c r="F109" t="s">
        <v>642</v>
      </c>
      <c r="H109">
        <v>1910</v>
      </c>
    </row>
    <row r="110" spans="2:8" x14ac:dyDescent="0.25">
      <c r="B110" t="s">
        <v>1898</v>
      </c>
      <c r="C110" t="s">
        <v>20</v>
      </c>
      <c r="D110">
        <v>1902</v>
      </c>
      <c r="F110" t="s">
        <v>644</v>
      </c>
      <c r="H110">
        <v>38</v>
      </c>
    </row>
    <row r="111" spans="2:8" x14ac:dyDescent="0.25">
      <c r="B111" t="s">
        <v>596</v>
      </c>
      <c r="C111" t="s">
        <v>20</v>
      </c>
      <c r="D111">
        <v>1894</v>
      </c>
      <c r="F111" t="s">
        <v>646</v>
      </c>
      <c r="H111">
        <v>104</v>
      </c>
    </row>
    <row r="112" spans="2:8" x14ac:dyDescent="0.25">
      <c r="B112" t="s">
        <v>1778</v>
      </c>
      <c r="C112" t="s">
        <v>20</v>
      </c>
      <c r="D112">
        <v>1887</v>
      </c>
      <c r="F112" t="s">
        <v>650</v>
      </c>
      <c r="H112">
        <v>49</v>
      </c>
    </row>
    <row r="113" spans="2:8" x14ac:dyDescent="0.25">
      <c r="B113" t="s">
        <v>546</v>
      </c>
      <c r="C113" t="s">
        <v>20</v>
      </c>
      <c r="D113">
        <v>1884</v>
      </c>
      <c r="F113" t="s">
        <v>652</v>
      </c>
      <c r="H113">
        <v>1</v>
      </c>
    </row>
    <row r="114" spans="2:8" x14ac:dyDescent="0.25">
      <c r="B114" t="s">
        <v>1862</v>
      </c>
      <c r="C114" t="s">
        <v>20</v>
      </c>
      <c r="D114">
        <v>1866</v>
      </c>
      <c r="F114" t="s">
        <v>656</v>
      </c>
      <c r="H114">
        <v>245</v>
      </c>
    </row>
    <row r="115" spans="2:8" x14ac:dyDescent="0.25">
      <c r="B115" t="s">
        <v>370</v>
      </c>
      <c r="C115" t="s">
        <v>20</v>
      </c>
      <c r="D115">
        <v>1821</v>
      </c>
      <c r="F115" t="s">
        <v>658</v>
      </c>
      <c r="H115">
        <v>32</v>
      </c>
    </row>
    <row r="116" spans="2:8" x14ac:dyDescent="0.25">
      <c r="B116" t="s">
        <v>485</v>
      </c>
      <c r="C116" t="s">
        <v>20</v>
      </c>
      <c r="D116">
        <v>1815</v>
      </c>
      <c r="F116" t="s">
        <v>664</v>
      </c>
      <c r="H116">
        <v>7</v>
      </c>
    </row>
    <row r="117" spans="2:8" x14ac:dyDescent="0.25">
      <c r="B117" t="s">
        <v>1707</v>
      </c>
      <c r="C117" t="s">
        <v>20</v>
      </c>
      <c r="D117">
        <v>1797</v>
      </c>
      <c r="F117" t="s">
        <v>668</v>
      </c>
      <c r="H117">
        <v>803</v>
      </c>
    </row>
    <row r="118" spans="2:8" x14ac:dyDescent="0.25">
      <c r="B118" t="s">
        <v>1466</v>
      </c>
      <c r="C118" t="s">
        <v>20</v>
      </c>
      <c r="D118">
        <v>1785</v>
      </c>
      <c r="F118" t="s">
        <v>672</v>
      </c>
      <c r="H118">
        <v>16</v>
      </c>
    </row>
    <row r="119" spans="2:8" x14ac:dyDescent="0.25">
      <c r="B119" t="s">
        <v>532</v>
      </c>
      <c r="C119" t="s">
        <v>20</v>
      </c>
      <c r="D119">
        <v>1784</v>
      </c>
      <c r="F119" t="s">
        <v>682</v>
      </c>
      <c r="H119">
        <v>31</v>
      </c>
    </row>
    <row r="120" spans="2:8" x14ac:dyDescent="0.25">
      <c r="B120" t="s">
        <v>290</v>
      </c>
      <c r="C120" t="s">
        <v>20</v>
      </c>
      <c r="D120">
        <v>1782</v>
      </c>
      <c r="F120" t="s">
        <v>684</v>
      </c>
      <c r="H120">
        <v>108</v>
      </c>
    </row>
    <row r="121" spans="2:8" x14ac:dyDescent="0.25">
      <c r="B121" t="s">
        <v>1084</v>
      </c>
      <c r="C121" t="s">
        <v>20</v>
      </c>
      <c r="D121">
        <v>1773</v>
      </c>
      <c r="F121" t="s">
        <v>686</v>
      </c>
      <c r="H121">
        <v>30</v>
      </c>
    </row>
    <row r="122" spans="2:8" x14ac:dyDescent="0.25">
      <c r="B122" t="s">
        <v>919</v>
      </c>
      <c r="C122" t="s">
        <v>20</v>
      </c>
      <c r="D122">
        <v>1713</v>
      </c>
      <c r="F122" t="s">
        <v>688</v>
      </c>
      <c r="H122">
        <v>17</v>
      </c>
    </row>
    <row r="123" spans="2:8" x14ac:dyDescent="0.25">
      <c r="B123" t="s">
        <v>758</v>
      </c>
      <c r="C123" t="s">
        <v>20</v>
      </c>
      <c r="D123">
        <v>1703</v>
      </c>
      <c r="F123" t="s">
        <v>692</v>
      </c>
      <c r="H123">
        <v>80</v>
      </c>
    </row>
    <row r="124" spans="2:8" x14ac:dyDescent="0.25">
      <c r="B124" t="s">
        <v>562</v>
      </c>
      <c r="C124" t="s">
        <v>20</v>
      </c>
      <c r="D124">
        <v>1697</v>
      </c>
      <c r="F124" t="s">
        <v>694</v>
      </c>
      <c r="H124">
        <v>2468</v>
      </c>
    </row>
    <row r="125" spans="2:8" x14ac:dyDescent="0.25">
      <c r="B125" t="s">
        <v>728</v>
      </c>
      <c r="C125" t="s">
        <v>20</v>
      </c>
      <c r="D125">
        <v>1690</v>
      </c>
      <c r="F125" t="s">
        <v>698</v>
      </c>
      <c r="H125">
        <v>26</v>
      </c>
    </row>
    <row r="126" spans="2:8" x14ac:dyDescent="0.25">
      <c r="B126" t="s">
        <v>534</v>
      </c>
      <c r="C126" t="s">
        <v>20</v>
      </c>
      <c r="D126">
        <v>1684</v>
      </c>
      <c r="F126" t="s">
        <v>702</v>
      </c>
      <c r="H126">
        <v>73</v>
      </c>
    </row>
    <row r="127" spans="2:8" x14ac:dyDescent="0.25">
      <c r="B127" t="s">
        <v>1973</v>
      </c>
      <c r="C127" t="s">
        <v>20</v>
      </c>
      <c r="D127">
        <v>1681</v>
      </c>
      <c r="F127" t="s">
        <v>704</v>
      </c>
      <c r="H127">
        <v>128</v>
      </c>
    </row>
    <row r="128" spans="2:8" x14ac:dyDescent="0.25">
      <c r="B128" t="s">
        <v>1232</v>
      </c>
      <c r="C128" t="s">
        <v>20</v>
      </c>
      <c r="D128">
        <v>1629</v>
      </c>
      <c r="F128" t="s">
        <v>706</v>
      </c>
      <c r="H128">
        <v>33</v>
      </c>
    </row>
    <row r="129" spans="2:8" x14ac:dyDescent="0.25">
      <c r="B129" t="s">
        <v>1379</v>
      </c>
      <c r="C129" t="s">
        <v>20</v>
      </c>
      <c r="D129">
        <v>1621</v>
      </c>
      <c r="F129" t="s">
        <v>724</v>
      </c>
      <c r="H129">
        <v>1072</v>
      </c>
    </row>
    <row r="130" spans="2:8" x14ac:dyDescent="0.25">
      <c r="B130" t="s">
        <v>45</v>
      </c>
      <c r="C130" t="s">
        <v>20</v>
      </c>
      <c r="D130">
        <v>1613</v>
      </c>
      <c r="F130" t="s">
        <v>732</v>
      </c>
      <c r="H130">
        <v>393</v>
      </c>
    </row>
    <row r="131" spans="2:8" x14ac:dyDescent="0.25">
      <c r="B131" t="s">
        <v>96</v>
      </c>
      <c r="C131" t="s">
        <v>20</v>
      </c>
      <c r="D131">
        <v>1606</v>
      </c>
      <c r="F131" t="s">
        <v>734</v>
      </c>
      <c r="H131">
        <v>1257</v>
      </c>
    </row>
    <row r="132" spans="2:8" x14ac:dyDescent="0.25">
      <c r="B132" t="s">
        <v>960</v>
      </c>
      <c r="C132" t="s">
        <v>20</v>
      </c>
      <c r="D132">
        <v>1605</v>
      </c>
      <c r="F132" t="s">
        <v>736</v>
      </c>
      <c r="H132">
        <v>328</v>
      </c>
    </row>
    <row r="133" spans="2:8" x14ac:dyDescent="0.25">
      <c r="B133" t="s">
        <v>843</v>
      </c>
      <c r="C133" t="s">
        <v>20</v>
      </c>
      <c r="D133">
        <v>1604</v>
      </c>
      <c r="F133" t="s">
        <v>738</v>
      </c>
      <c r="H133">
        <v>147</v>
      </c>
    </row>
    <row r="134" spans="2:8" x14ac:dyDescent="0.25">
      <c r="B134" t="s">
        <v>168</v>
      </c>
      <c r="C134" t="s">
        <v>20</v>
      </c>
      <c r="D134">
        <v>1600</v>
      </c>
      <c r="F134" t="s">
        <v>740</v>
      </c>
      <c r="H134">
        <v>830</v>
      </c>
    </row>
    <row r="135" spans="2:8" x14ac:dyDescent="0.25">
      <c r="B135" t="s">
        <v>1963</v>
      </c>
      <c r="C135" t="s">
        <v>20</v>
      </c>
      <c r="D135">
        <v>1573</v>
      </c>
      <c r="F135" t="s">
        <v>742</v>
      </c>
      <c r="H135">
        <v>331</v>
      </c>
    </row>
    <row r="136" spans="2:8" x14ac:dyDescent="0.25">
      <c r="B136" t="s">
        <v>1015</v>
      </c>
      <c r="C136" t="s">
        <v>20</v>
      </c>
      <c r="D136">
        <v>1572</v>
      </c>
      <c r="F136" t="s">
        <v>744</v>
      </c>
      <c r="H136">
        <v>25</v>
      </c>
    </row>
    <row r="137" spans="2:8" x14ac:dyDescent="0.25">
      <c r="B137" t="s">
        <v>398</v>
      </c>
      <c r="C137" t="s">
        <v>20</v>
      </c>
      <c r="D137">
        <v>1561</v>
      </c>
      <c r="F137" t="s">
        <v>748</v>
      </c>
      <c r="H137">
        <v>3483</v>
      </c>
    </row>
    <row r="138" spans="2:8" x14ac:dyDescent="0.25">
      <c r="B138" t="s">
        <v>1932</v>
      </c>
      <c r="C138" t="s">
        <v>20</v>
      </c>
      <c r="D138">
        <v>1559</v>
      </c>
      <c r="F138" t="s">
        <v>750</v>
      </c>
      <c r="H138">
        <v>923</v>
      </c>
    </row>
    <row r="139" spans="2:8" x14ac:dyDescent="0.25">
      <c r="B139" t="s">
        <v>1938</v>
      </c>
      <c r="C139" t="s">
        <v>20</v>
      </c>
      <c r="D139">
        <v>1548</v>
      </c>
      <c r="F139" t="s">
        <v>752</v>
      </c>
      <c r="H139">
        <v>1</v>
      </c>
    </row>
    <row r="140" spans="2:8" x14ac:dyDescent="0.25">
      <c r="B140" t="s">
        <v>491</v>
      </c>
      <c r="C140" t="s">
        <v>20</v>
      </c>
      <c r="D140">
        <v>1539</v>
      </c>
      <c r="F140" t="s">
        <v>756</v>
      </c>
      <c r="H140">
        <v>33</v>
      </c>
    </row>
    <row r="141" spans="2:8" x14ac:dyDescent="0.25">
      <c r="B141" t="s">
        <v>1552</v>
      </c>
      <c r="C141" t="s">
        <v>20</v>
      </c>
      <c r="D141">
        <v>1518</v>
      </c>
      <c r="F141" t="s">
        <v>764</v>
      </c>
      <c r="H141">
        <v>40</v>
      </c>
    </row>
    <row r="142" spans="2:8" x14ac:dyDescent="0.25">
      <c r="B142" t="s">
        <v>1812</v>
      </c>
      <c r="C142" t="s">
        <v>20</v>
      </c>
      <c r="D142">
        <v>1470</v>
      </c>
      <c r="F142" t="s">
        <v>768</v>
      </c>
      <c r="H142">
        <v>23</v>
      </c>
    </row>
    <row r="143" spans="2:8" x14ac:dyDescent="0.25">
      <c r="B143" t="s">
        <v>1739</v>
      </c>
      <c r="C143" t="s">
        <v>20</v>
      </c>
      <c r="D143">
        <v>1467</v>
      </c>
      <c r="F143" t="s">
        <v>786</v>
      </c>
      <c r="H143">
        <v>75</v>
      </c>
    </row>
    <row r="144" spans="2:8" x14ac:dyDescent="0.25">
      <c r="B144" t="s">
        <v>1824</v>
      </c>
      <c r="C144" t="s">
        <v>20</v>
      </c>
      <c r="D144">
        <v>1460</v>
      </c>
      <c r="F144" t="s">
        <v>794</v>
      </c>
      <c r="H144">
        <v>2176</v>
      </c>
    </row>
    <row r="145" spans="2:8" x14ac:dyDescent="0.25">
      <c r="B145" t="s">
        <v>426</v>
      </c>
      <c r="C145" t="s">
        <v>20</v>
      </c>
      <c r="D145">
        <v>1442</v>
      </c>
      <c r="F145" t="s">
        <v>800</v>
      </c>
      <c r="H145">
        <v>441</v>
      </c>
    </row>
    <row r="146" spans="2:8" x14ac:dyDescent="0.25">
      <c r="B146" t="s">
        <v>24</v>
      </c>
      <c r="C146" t="s">
        <v>20</v>
      </c>
      <c r="D146">
        <v>1425</v>
      </c>
      <c r="F146" t="s">
        <v>802</v>
      </c>
      <c r="H146">
        <v>25</v>
      </c>
    </row>
    <row r="147" spans="2:8" x14ac:dyDescent="0.25">
      <c r="B147" t="s">
        <v>77</v>
      </c>
      <c r="C147" t="s">
        <v>20</v>
      </c>
      <c r="D147">
        <v>1396</v>
      </c>
      <c r="F147" t="s">
        <v>806</v>
      </c>
      <c r="H147">
        <v>127</v>
      </c>
    </row>
    <row r="148" spans="2:8" x14ac:dyDescent="0.25">
      <c r="B148" t="s">
        <v>380</v>
      </c>
      <c r="C148" t="s">
        <v>20</v>
      </c>
      <c r="D148">
        <v>1396</v>
      </c>
      <c r="F148" t="s">
        <v>808</v>
      </c>
      <c r="H148">
        <v>355</v>
      </c>
    </row>
    <row r="149" spans="2:8" x14ac:dyDescent="0.25">
      <c r="B149" t="s">
        <v>712</v>
      </c>
      <c r="C149" t="s">
        <v>20</v>
      </c>
      <c r="D149">
        <v>1385</v>
      </c>
      <c r="F149" t="s">
        <v>810</v>
      </c>
      <c r="H149">
        <v>44</v>
      </c>
    </row>
    <row r="150" spans="2:8" x14ac:dyDescent="0.25">
      <c r="B150" t="s">
        <v>1723</v>
      </c>
      <c r="C150" t="s">
        <v>20</v>
      </c>
      <c r="D150">
        <v>1354</v>
      </c>
      <c r="F150" t="s">
        <v>816</v>
      </c>
      <c r="H150">
        <v>67</v>
      </c>
    </row>
    <row r="151" spans="2:8" x14ac:dyDescent="0.25">
      <c r="B151" t="s">
        <v>1450</v>
      </c>
      <c r="C151" t="s">
        <v>20</v>
      </c>
      <c r="D151">
        <v>1345</v>
      </c>
      <c r="F151" t="s">
        <v>824</v>
      </c>
      <c r="H151">
        <v>1068</v>
      </c>
    </row>
    <row r="152" spans="2:8" x14ac:dyDescent="0.25">
      <c r="B152" t="s">
        <v>1697</v>
      </c>
      <c r="C152" t="s">
        <v>20</v>
      </c>
      <c r="D152">
        <v>1297</v>
      </c>
      <c r="F152" t="s">
        <v>826</v>
      </c>
      <c r="H152">
        <v>424</v>
      </c>
    </row>
    <row r="153" spans="2:8" x14ac:dyDescent="0.25">
      <c r="B153" t="s">
        <v>1681</v>
      </c>
      <c r="C153" t="s">
        <v>20</v>
      </c>
      <c r="D153">
        <v>1280</v>
      </c>
      <c r="F153" t="s">
        <v>834</v>
      </c>
      <c r="H153">
        <v>151</v>
      </c>
    </row>
    <row r="154" spans="2:8" x14ac:dyDescent="0.25">
      <c r="B154" t="s">
        <v>390</v>
      </c>
      <c r="C154" t="s">
        <v>20</v>
      </c>
      <c r="D154">
        <v>1267</v>
      </c>
      <c r="F154" t="s">
        <v>836</v>
      </c>
      <c r="H154">
        <v>1608</v>
      </c>
    </row>
    <row r="155" spans="2:8" x14ac:dyDescent="0.25">
      <c r="B155" t="s">
        <v>69</v>
      </c>
      <c r="C155" t="s">
        <v>20</v>
      </c>
      <c r="D155">
        <v>1249</v>
      </c>
      <c r="F155" t="s">
        <v>849</v>
      </c>
      <c r="H155">
        <v>941</v>
      </c>
    </row>
    <row r="156" spans="2:8" x14ac:dyDescent="0.25">
      <c r="B156" t="s">
        <v>1392</v>
      </c>
      <c r="C156" t="s">
        <v>20</v>
      </c>
      <c r="D156">
        <v>1170</v>
      </c>
      <c r="F156" t="s">
        <v>851</v>
      </c>
      <c r="H156">
        <v>1</v>
      </c>
    </row>
    <row r="157" spans="2:8" x14ac:dyDescent="0.25">
      <c r="B157" t="s">
        <v>830</v>
      </c>
      <c r="C157" t="s">
        <v>20</v>
      </c>
      <c r="D157">
        <v>1152</v>
      </c>
      <c r="F157" t="s">
        <v>855</v>
      </c>
      <c r="H157">
        <v>40</v>
      </c>
    </row>
    <row r="158" spans="2:8" x14ac:dyDescent="0.25">
      <c r="B158" t="s">
        <v>1246</v>
      </c>
      <c r="C158" t="s">
        <v>20</v>
      </c>
      <c r="D158">
        <v>1140</v>
      </c>
      <c r="F158" t="s">
        <v>857</v>
      </c>
      <c r="H158">
        <v>3015</v>
      </c>
    </row>
    <row r="159" spans="2:8" x14ac:dyDescent="0.25">
      <c r="B159" t="s">
        <v>822</v>
      </c>
      <c r="C159" t="s">
        <v>20</v>
      </c>
      <c r="D159">
        <v>1137</v>
      </c>
      <c r="F159" t="s">
        <v>861</v>
      </c>
      <c r="H159">
        <v>435</v>
      </c>
    </row>
    <row r="160" spans="2:8" x14ac:dyDescent="0.25">
      <c r="B160" t="s">
        <v>720</v>
      </c>
      <c r="C160" t="s">
        <v>20</v>
      </c>
      <c r="D160">
        <v>1113</v>
      </c>
      <c r="F160" t="s">
        <v>243</v>
      </c>
      <c r="H160">
        <v>714</v>
      </c>
    </row>
    <row r="161" spans="2:8" x14ac:dyDescent="0.25">
      <c r="B161" t="s">
        <v>1334</v>
      </c>
      <c r="C161" t="s">
        <v>20</v>
      </c>
      <c r="D161">
        <v>1101</v>
      </c>
      <c r="F161" t="s">
        <v>878</v>
      </c>
      <c r="H161">
        <v>5497</v>
      </c>
    </row>
    <row r="162" spans="2:8" x14ac:dyDescent="0.25">
      <c r="B162" t="s">
        <v>726</v>
      </c>
      <c r="C162" t="s">
        <v>20</v>
      </c>
      <c r="D162">
        <v>1095</v>
      </c>
      <c r="F162" t="s">
        <v>880</v>
      </c>
      <c r="H162">
        <v>418</v>
      </c>
    </row>
    <row r="163" spans="2:8" x14ac:dyDescent="0.25">
      <c r="B163" t="s">
        <v>1382</v>
      </c>
      <c r="C163" t="s">
        <v>20</v>
      </c>
      <c r="D163">
        <v>1073</v>
      </c>
      <c r="F163" t="s">
        <v>882</v>
      </c>
      <c r="H163">
        <v>1439</v>
      </c>
    </row>
    <row r="164" spans="2:8" x14ac:dyDescent="0.25">
      <c r="B164" t="s">
        <v>334</v>
      </c>
      <c r="C164" t="s">
        <v>20</v>
      </c>
      <c r="D164">
        <v>1071</v>
      </c>
      <c r="F164" t="s">
        <v>884</v>
      </c>
      <c r="H164">
        <v>15</v>
      </c>
    </row>
    <row r="165" spans="2:8" x14ac:dyDescent="0.25">
      <c r="B165" t="s">
        <v>1498</v>
      </c>
      <c r="C165" t="s">
        <v>20</v>
      </c>
      <c r="D165">
        <v>1071</v>
      </c>
      <c r="F165" t="s">
        <v>105</v>
      </c>
      <c r="H165">
        <v>1999</v>
      </c>
    </row>
    <row r="166" spans="2:8" x14ac:dyDescent="0.25">
      <c r="B166" t="s">
        <v>1119</v>
      </c>
      <c r="C166" t="s">
        <v>20</v>
      </c>
      <c r="D166">
        <v>1052</v>
      </c>
      <c r="F166" t="s">
        <v>891</v>
      </c>
      <c r="H166">
        <v>118</v>
      </c>
    </row>
    <row r="167" spans="2:8" x14ac:dyDescent="0.25">
      <c r="B167" t="s">
        <v>1162</v>
      </c>
      <c r="C167" t="s">
        <v>20</v>
      </c>
      <c r="D167">
        <v>1022</v>
      </c>
      <c r="F167" t="s">
        <v>895</v>
      </c>
      <c r="H167">
        <v>162</v>
      </c>
    </row>
    <row r="168" spans="2:8" x14ac:dyDescent="0.25">
      <c r="B168" t="s">
        <v>1986</v>
      </c>
      <c r="C168" t="s">
        <v>20</v>
      </c>
      <c r="D168">
        <v>1015</v>
      </c>
      <c r="F168" t="s">
        <v>897</v>
      </c>
      <c r="H168">
        <v>83</v>
      </c>
    </row>
    <row r="169" spans="2:8" x14ac:dyDescent="0.25">
      <c r="B169" t="s">
        <v>1504</v>
      </c>
      <c r="C169" t="s">
        <v>20</v>
      </c>
      <c r="D169">
        <v>980</v>
      </c>
      <c r="F169" t="s">
        <v>905</v>
      </c>
      <c r="H169">
        <v>747</v>
      </c>
    </row>
    <row r="170" spans="2:8" x14ac:dyDescent="0.25">
      <c r="B170" t="s">
        <v>506</v>
      </c>
      <c r="C170" t="s">
        <v>20</v>
      </c>
      <c r="D170">
        <v>943</v>
      </c>
      <c r="F170" t="s">
        <v>909</v>
      </c>
      <c r="H170">
        <v>84</v>
      </c>
    </row>
    <row r="171" spans="2:8" x14ac:dyDescent="0.25">
      <c r="B171" t="s">
        <v>1209</v>
      </c>
      <c r="C171" t="s">
        <v>20</v>
      </c>
      <c r="D171">
        <v>909</v>
      </c>
      <c r="F171" t="s">
        <v>913</v>
      </c>
      <c r="H171">
        <v>91</v>
      </c>
    </row>
    <row r="172" spans="2:8" x14ac:dyDescent="0.25">
      <c r="B172" t="s">
        <v>293</v>
      </c>
      <c r="C172" t="s">
        <v>20</v>
      </c>
      <c r="D172">
        <v>903</v>
      </c>
      <c r="F172" t="s">
        <v>915</v>
      </c>
      <c r="H172">
        <v>792</v>
      </c>
    </row>
    <row r="173" spans="2:8" x14ac:dyDescent="0.25">
      <c r="B173" t="s">
        <v>81</v>
      </c>
      <c r="C173" t="s">
        <v>20</v>
      </c>
      <c r="D173">
        <v>890</v>
      </c>
      <c r="F173" t="s">
        <v>931</v>
      </c>
      <c r="H173">
        <v>32</v>
      </c>
    </row>
    <row r="174" spans="2:8" x14ac:dyDescent="0.25">
      <c r="B174" t="s">
        <v>1440</v>
      </c>
      <c r="C174" t="s">
        <v>20</v>
      </c>
      <c r="D174">
        <v>820</v>
      </c>
      <c r="F174" t="s">
        <v>940</v>
      </c>
      <c r="H174">
        <v>186</v>
      </c>
    </row>
    <row r="175" spans="2:8" x14ac:dyDescent="0.25">
      <c r="B175" t="s">
        <v>342</v>
      </c>
      <c r="C175" t="s">
        <v>20</v>
      </c>
      <c r="D175">
        <v>768</v>
      </c>
      <c r="F175" t="s">
        <v>944</v>
      </c>
      <c r="H175">
        <v>605</v>
      </c>
    </row>
    <row r="176" spans="2:8" x14ac:dyDescent="0.25">
      <c r="B176" t="s">
        <v>1143</v>
      </c>
      <c r="C176" t="s">
        <v>20</v>
      </c>
      <c r="D176">
        <v>762</v>
      </c>
      <c r="F176" t="s">
        <v>948</v>
      </c>
      <c r="H176">
        <v>1</v>
      </c>
    </row>
    <row r="177" spans="2:8" x14ac:dyDescent="0.25">
      <c r="B177" t="s">
        <v>1270</v>
      </c>
      <c r="C177" t="s">
        <v>20</v>
      </c>
      <c r="D177">
        <v>723</v>
      </c>
      <c r="F177" t="s">
        <v>952</v>
      </c>
      <c r="H177">
        <v>31</v>
      </c>
    </row>
    <row r="178" spans="2:8" x14ac:dyDescent="0.25">
      <c r="B178" t="s">
        <v>272</v>
      </c>
      <c r="C178" t="s">
        <v>20</v>
      </c>
      <c r="D178">
        <v>676</v>
      </c>
      <c r="F178" t="s">
        <v>954</v>
      </c>
      <c r="H178">
        <v>1181</v>
      </c>
    </row>
    <row r="179" spans="2:8" x14ac:dyDescent="0.25">
      <c r="B179" t="s">
        <v>666</v>
      </c>
      <c r="C179" t="s">
        <v>20</v>
      </c>
      <c r="D179">
        <v>659</v>
      </c>
      <c r="F179" t="s">
        <v>956</v>
      </c>
      <c r="H179">
        <v>39</v>
      </c>
    </row>
    <row r="180" spans="2:8" x14ac:dyDescent="0.25">
      <c r="B180" t="s">
        <v>863</v>
      </c>
      <c r="C180" t="s">
        <v>20</v>
      </c>
      <c r="D180">
        <v>645</v>
      </c>
      <c r="F180" t="s">
        <v>962</v>
      </c>
      <c r="H180">
        <v>46</v>
      </c>
    </row>
    <row r="181" spans="2:8" x14ac:dyDescent="0.25">
      <c r="B181" t="s">
        <v>1182</v>
      </c>
      <c r="C181" t="s">
        <v>20</v>
      </c>
      <c r="D181">
        <v>589</v>
      </c>
      <c r="F181" t="s">
        <v>966</v>
      </c>
      <c r="H181">
        <v>105</v>
      </c>
    </row>
    <row r="182" spans="2:8" x14ac:dyDescent="0.25">
      <c r="B182" t="s">
        <v>1472</v>
      </c>
      <c r="C182" t="s">
        <v>20</v>
      </c>
      <c r="D182">
        <v>555</v>
      </c>
      <c r="F182" t="s">
        <v>972</v>
      </c>
      <c r="H182">
        <v>535</v>
      </c>
    </row>
    <row r="183" spans="2:8" x14ac:dyDescent="0.25">
      <c r="B183" t="s">
        <v>1153</v>
      </c>
      <c r="C183" t="s">
        <v>20</v>
      </c>
      <c r="D183">
        <v>554</v>
      </c>
      <c r="F183" t="s">
        <v>984</v>
      </c>
      <c r="H183">
        <v>16</v>
      </c>
    </row>
    <row r="184" spans="2:8" x14ac:dyDescent="0.25">
      <c r="B184" t="s">
        <v>610</v>
      </c>
      <c r="C184" t="s">
        <v>20</v>
      </c>
      <c r="D184">
        <v>546</v>
      </c>
      <c r="F184" t="s">
        <v>991</v>
      </c>
      <c r="H184">
        <v>575</v>
      </c>
    </row>
    <row r="185" spans="2:8" x14ac:dyDescent="0.25">
      <c r="B185" t="s">
        <v>1506</v>
      </c>
      <c r="C185" t="s">
        <v>20</v>
      </c>
      <c r="D185">
        <v>536</v>
      </c>
      <c r="F185" t="s">
        <v>999</v>
      </c>
      <c r="H185">
        <v>1120</v>
      </c>
    </row>
    <row r="186" spans="2:8" x14ac:dyDescent="0.25">
      <c r="B186" t="s">
        <v>311</v>
      </c>
      <c r="C186" t="s">
        <v>20</v>
      </c>
      <c r="D186">
        <v>533</v>
      </c>
      <c r="F186" t="s">
        <v>1001</v>
      </c>
      <c r="H186">
        <v>113</v>
      </c>
    </row>
    <row r="187" spans="2:8" x14ac:dyDescent="0.25">
      <c r="B187" t="s">
        <v>442</v>
      </c>
      <c r="C187" t="s">
        <v>20</v>
      </c>
      <c r="D187">
        <v>524</v>
      </c>
      <c r="F187" t="s">
        <v>1009</v>
      </c>
      <c r="H187">
        <v>1538</v>
      </c>
    </row>
    <row r="188" spans="2:8" x14ac:dyDescent="0.25">
      <c r="B188" t="s">
        <v>233</v>
      </c>
      <c r="C188" t="s">
        <v>20</v>
      </c>
      <c r="D188">
        <v>498</v>
      </c>
      <c r="F188" t="s">
        <v>1011</v>
      </c>
      <c r="H188">
        <v>9</v>
      </c>
    </row>
    <row r="189" spans="2:8" x14ac:dyDescent="0.25">
      <c r="B189" t="s">
        <v>865</v>
      </c>
      <c r="C189" t="s">
        <v>20</v>
      </c>
      <c r="D189">
        <v>484</v>
      </c>
      <c r="F189" t="s">
        <v>1013</v>
      </c>
      <c r="H189">
        <v>554</v>
      </c>
    </row>
    <row r="190" spans="2:8" x14ac:dyDescent="0.25">
      <c r="B190" t="s">
        <v>2002</v>
      </c>
      <c r="C190" t="s">
        <v>20</v>
      </c>
      <c r="D190">
        <v>480</v>
      </c>
      <c r="F190" t="s">
        <v>1017</v>
      </c>
      <c r="H190">
        <v>648</v>
      </c>
    </row>
    <row r="191" spans="2:8" x14ac:dyDescent="0.25">
      <c r="B191" t="s">
        <v>716</v>
      </c>
      <c r="C191" t="s">
        <v>20</v>
      </c>
      <c r="D191">
        <v>470</v>
      </c>
      <c r="F191" t="s">
        <v>1019</v>
      </c>
      <c r="H191">
        <v>21</v>
      </c>
    </row>
    <row r="192" spans="2:8" x14ac:dyDescent="0.25">
      <c r="B192" t="s">
        <v>1854</v>
      </c>
      <c r="C192" t="s">
        <v>20</v>
      </c>
      <c r="D192">
        <v>462</v>
      </c>
      <c r="F192" t="s">
        <v>1040</v>
      </c>
      <c r="H192">
        <v>54</v>
      </c>
    </row>
    <row r="193" spans="2:8" x14ac:dyDescent="0.25">
      <c r="B193" t="s">
        <v>1053</v>
      </c>
      <c r="C193" t="s">
        <v>20</v>
      </c>
      <c r="D193">
        <v>460</v>
      </c>
      <c r="F193" t="s">
        <v>1042</v>
      </c>
      <c r="H193">
        <v>120</v>
      </c>
    </row>
    <row r="194" spans="2:8" x14ac:dyDescent="0.25">
      <c r="B194" t="s">
        <v>845</v>
      </c>
      <c r="C194" t="s">
        <v>20</v>
      </c>
      <c r="D194">
        <v>454</v>
      </c>
      <c r="F194" t="s">
        <v>1044</v>
      </c>
      <c r="H194">
        <v>579</v>
      </c>
    </row>
    <row r="195" spans="2:8" x14ac:dyDescent="0.25">
      <c r="B195" t="s">
        <v>1743</v>
      </c>
      <c r="C195" t="s">
        <v>20</v>
      </c>
      <c r="D195">
        <v>452</v>
      </c>
      <c r="F195" t="s">
        <v>1046</v>
      </c>
      <c r="H195">
        <v>2072</v>
      </c>
    </row>
    <row r="196" spans="2:8" x14ac:dyDescent="0.25">
      <c r="B196" t="s">
        <v>1290</v>
      </c>
      <c r="C196" t="s">
        <v>20</v>
      </c>
      <c r="D196">
        <v>432</v>
      </c>
      <c r="F196" t="s">
        <v>1048</v>
      </c>
      <c r="H196">
        <v>0</v>
      </c>
    </row>
    <row r="197" spans="2:8" x14ac:dyDescent="0.25">
      <c r="B197" t="s">
        <v>1375</v>
      </c>
      <c r="C197" t="s">
        <v>20</v>
      </c>
      <c r="D197">
        <v>419</v>
      </c>
      <c r="F197" t="s">
        <v>1050</v>
      </c>
      <c r="H197">
        <v>1796</v>
      </c>
    </row>
    <row r="198" spans="2:8" x14ac:dyDescent="0.25">
      <c r="B198" t="s">
        <v>211</v>
      </c>
      <c r="C198" t="s">
        <v>20</v>
      </c>
      <c r="D198">
        <v>411</v>
      </c>
      <c r="F198" t="s">
        <v>1055</v>
      </c>
      <c r="H198">
        <v>62</v>
      </c>
    </row>
    <row r="199" spans="2:8" x14ac:dyDescent="0.25">
      <c r="B199" t="s">
        <v>1346</v>
      </c>
      <c r="C199" t="s">
        <v>20</v>
      </c>
      <c r="D199">
        <v>409</v>
      </c>
      <c r="F199" t="s">
        <v>1057</v>
      </c>
      <c r="H199">
        <v>347</v>
      </c>
    </row>
    <row r="200" spans="2:8" x14ac:dyDescent="0.25">
      <c r="B200" t="s">
        <v>489</v>
      </c>
      <c r="C200" t="s">
        <v>20</v>
      </c>
      <c r="D200">
        <v>397</v>
      </c>
      <c r="F200" t="s">
        <v>1061</v>
      </c>
      <c r="H200">
        <v>19</v>
      </c>
    </row>
    <row r="201" spans="2:8" x14ac:dyDescent="0.25">
      <c r="B201" t="s">
        <v>612</v>
      </c>
      <c r="C201" t="s">
        <v>20</v>
      </c>
      <c r="D201">
        <v>393</v>
      </c>
      <c r="F201" t="s">
        <v>398</v>
      </c>
      <c r="H201">
        <v>1258</v>
      </c>
    </row>
    <row r="202" spans="2:8" x14ac:dyDescent="0.25">
      <c r="B202" t="s">
        <v>988</v>
      </c>
      <c r="C202" t="s">
        <v>20</v>
      </c>
      <c r="D202">
        <v>381</v>
      </c>
      <c r="F202" t="s">
        <v>1068</v>
      </c>
      <c r="H202">
        <v>362</v>
      </c>
    </row>
    <row r="203" spans="2:8" x14ac:dyDescent="0.25">
      <c r="B203" t="s">
        <v>1996</v>
      </c>
      <c r="C203" t="s">
        <v>20</v>
      </c>
      <c r="D203">
        <v>381</v>
      </c>
      <c r="F203" t="s">
        <v>1076</v>
      </c>
      <c r="H203">
        <v>133</v>
      </c>
    </row>
    <row r="204" spans="2:8" x14ac:dyDescent="0.25">
      <c r="B204" t="s">
        <v>1328</v>
      </c>
      <c r="C204" t="s">
        <v>20</v>
      </c>
      <c r="D204">
        <v>375</v>
      </c>
      <c r="F204" t="s">
        <v>1078</v>
      </c>
      <c r="H204">
        <v>846</v>
      </c>
    </row>
    <row r="205" spans="2:8" x14ac:dyDescent="0.25">
      <c r="B205" t="s">
        <v>217</v>
      </c>
      <c r="C205" t="s">
        <v>20</v>
      </c>
      <c r="D205">
        <v>374</v>
      </c>
      <c r="F205" t="s">
        <v>1082</v>
      </c>
      <c r="H205">
        <v>10</v>
      </c>
    </row>
    <row r="206" spans="2:8" x14ac:dyDescent="0.25">
      <c r="B206" t="s">
        <v>1088</v>
      </c>
      <c r="C206" t="s">
        <v>20</v>
      </c>
      <c r="D206">
        <v>369</v>
      </c>
      <c r="F206" t="s">
        <v>1089</v>
      </c>
      <c r="H206">
        <v>191</v>
      </c>
    </row>
    <row r="207" spans="2:8" x14ac:dyDescent="0.25">
      <c r="B207" t="s">
        <v>1534</v>
      </c>
      <c r="C207" t="s">
        <v>20</v>
      </c>
      <c r="D207">
        <v>366</v>
      </c>
      <c r="F207" t="s">
        <v>1093</v>
      </c>
      <c r="H207">
        <v>1979</v>
      </c>
    </row>
    <row r="208" spans="2:8" x14ac:dyDescent="0.25">
      <c r="B208" t="s">
        <v>668</v>
      </c>
      <c r="C208" t="s">
        <v>20</v>
      </c>
      <c r="D208">
        <v>363</v>
      </c>
      <c r="F208" t="s">
        <v>1095</v>
      </c>
      <c r="H208">
        <v>63</v>
      </c>
    </row>
    <row r="209" spans="2:8" x14ac:dyDescent="0.25">
      <c r="B209" t="s">
        <v>274</v>
      </c>
      <c r="C209" t="s">
        <v>20</v>
      </c>
      <c r="D209">
        <v>361</v>
      </c>
      <c r="F209" t="s">
        <v>1099</v>
      </c>
      <c r="H209">
        <v>6080</v>
      </c>
    </row>
    <row r="210" spans="2:8" x14ac:dyDescent="0.25">
      <c r="B210" t="s">
        <v>420</v>
      </c>
      <c r="C210" t="s">
        <v>20</v>
      </c>
      <c r="D210">
        <v>340</v>
      </c>
      <c r="F210" t="s">
        <v>1101</v>
      </c>
      <c r="H210">
        <v>80</v>
      </c>
    </row>
    <row r="211" spans="2:8" x14ac:dyDescent="0.25">
      <c r="B211" t="s">
        <v>630</v>
      </c>
      <c r="C211" t="s">
        <v>20</v>
      </c>
      <c r="D211">
        <v>337</v>
      </c>
      <c r="F211" t="s">
        <v>1103</v>
      </c>
      <c r="H211">
        <v>9</v>
      </c>
    </row>
    <row r="212" spans="2:8" x14ac:dyDescent="0.25">
      <c r="B212" t="s">
        <v>253</v>
      </c>
      <c r="C212" t="s">
        <v>20</v>
      </c>
      <c r="D212">
        <v>336</v>
      </c>
      <c r="F212" t="s">
        <v>1105</v>
      </c>
      <c r="H212">
        <v>1784</v>
      </c>
    </row>
    <row r="213" spans="2:8" x14ac:dyDescent="0.25">
      <c r="B213" t="s">
        <v>1390</v>
      </c>
      <c r="C213" t="s">
        <v>20</v>
      </c>
      <c r="D213">
        <v>331</v>
      </c>
      <c r="F213" t="s">
        <v>1113</v>
      </c>
      <c r="H213">
        <v>243</v>
      </c>
    </row>
    <row r="214" spans="2:8" x14ac:dyDescent="0.25">
      <c r="B214" t="s">
        <v>204</v>
      </c>
      <c r="C214" t="s">
        <v>20</v>
      </c>
      <c r="D214">
        <v>330</v>
      </c>
      <c r="F214" t="s">
        <v>1121</v>
      </c>
      <c r="H214">
        <v>1296</v>
      </c>
    </row>
    <row r="215" spans="2:8" x14ac:dyDescent="0.25">
      <c r="B215" t="s">
        <v>526</v>
      </c>
      <c r="C215" t="s">
        <v>20</v>
      </c>
      <c r="D215">
        <v>329</v>
      </c>
      <c r="F215" t="s">
        <v>1123</v>
      </c>
      <c r="H215">
        <v>77</v>
      </c>
    </row>
    <row r="216" spans="2:8" x14ac:dyDescent="0.25">
      <c r="B216" t="s">
        <v>1990</v>
      </c>
      <c r="C216" t="s">
        <v>20</v>
      </c>
      <c r="D216">
        <v>323</v>
      </c>
      <c r="F216" t="s">
        <v>1127</v>
      </c>
      <c r="H216">
        <v>395</v>
      </c>
    </row>
    <row r="217" spans="2:8" x14ac:dyDescent="0.25">
      <c r="B217" t="s">
        <v>1258</v>
      </c>
      <c r="C217" t="s">
        <v>20</v>
      </c>
      <c r="D217">
        <v>316</v>
      </c>
      <c r="F217" t="s">
        <v>1129</v>
      </c>
      <c r="H217">
        <v>49</v>
      </c>
    </row>
    <row r="218" spans="2:8" x14ac:dyDescent="0.25">
      <c r="B218" t="s">
        <v>700</v>
      </c>
      <c r="C218" t="s">
        <v>20</v>
      </c>
      <c r="D218">
        <v>307</v>
      </c>
      <c r="F218" t="s">
        <v>1131</v>
      </c>
      <c r="H218">
        <v>180</v>
      </c>
    </row>
    <row r="219" spans="2:8" x14ac:dyDescent="0.25">
      <c r="B219" t="s">
        <v>1731</v>
      </c>
      <c r="C219" t="s">
        <v>20</v>
      </c>
      <c r="D219">
        <v>307</v>
      </c>
      <c r="F219" t="s">
        <v>1135</v>
      </c>
      <c r="H219">
        <v>2690</v>
      </c>
    </row>
    <row r="220" spans="2:8" x14ac:dyDescent="0.25">
      <c r="B220" t="s">
        <v>144</v>
      </c>
      <c r="C220" t="s">
        <v>20</v>
      </c>
      <c r="D220">
        <v>303</v>
      </c>
      <c r="F220" t="s">
        <v>1147</v>
      </c>
      <c r="H220">
        <v>2779</v>
      </c>
    </row>
    <row r="221" spans="2:8" x14ac:dyDescent="0.25">
      <c r="B221" t="s">
        <v>1190</v>
      </c>
      <c r="C221" t="s">
        <v>20</v>
      </c>
      <c r="D221">
        <v>300</v>
      </c>
      <c r="F221" t="s">
        <v>1149</v>
      </c>
      <c r="H221">
        <v>92</v>
      </c>
    </row>
    <row r="222" spans="2:8" x14ac:dyDescent="0.25">
      <c r="B222" t="s">
        <v>1766</v>
      </c>
      <c r="C222" t="s">
        <v>20</v>
      </c>
      <c r="D222">
        <v>300</v>
      </c>
      <c r="F222" t="s">
        <v>1151</v>
      </c>
      <c r="H222">
        <v>1028</v>
      </c>
    </row>
    <row r="223" spans="2:8" x14ac:dyDescent="0.25">
      <c r="B223" t="s">
        <v>853</v>
      </c>
      <c r="C223" t="s">
        <v>20</v>
      </c>
      <c r="D223">
        <v>299</v>
      </c>
      <c r="F223" t="s">
        <v>1168</v>
      </c>
      <c r="H223">
        <v>26</v>
      </c>
    </row>
    <row r="224" spans="2:8" x14ac:dyDescent="0.25">
      <c r="B224" t="s">
        <v>1474</v>
      </c>
      <c r="C224" t="s">
        <v>20</v>
      </c>
      <c r="D224">
        <v>297</v>
      </c>
      <c r="F224" t="s">
        <v>1172</v>
      </c>
      <c r="H224">
        <v>1790</v>
      </c>
    </row>
    <row r="225" spans="2:8" x14ac:dyDescent="0.25">
      <c r="B225" t="s">
        <v>748</v>
      </c>
      <c r="C225" t="s">
        <v>20</v>
      </c>
      <c r="D225">
        <v>296</v>
      </c>
      <c r="F225" t="s">
        <v>1176</v>
      </c>
      <c r="H225">
        <v>37</v>
      </c>
    </row>
    <row r="226" spans="2:8" x14ac:dyDescent="0.25">
      <c r="B226" t="s">
        <v>654</v>
      </c>
      <c r="C226" t="s">
        <v>20</v>
      </c>
      <c r="D226">
        <v>295</v>
      </c>
      <c r="F226" t="s">
        <v>1186</v>
      </c>
      <c r="H226">
        <v>35</v>
      </c>
    </row>
    <row r="227" spans="2:8" x14ac:dyDescent="0.25">
      <c r="B227" t="s">
        <v>1808</v>
      </c>
      <c r="C227" t="s">
        <v>20</v>
      </c>
      <c r="D227">
        <v>290</v>
      </c>
      <c r="F227" t="s">
        <v>1194</v>
      </c>
      <c r="H227">
        <v>558</v>
      </c>
    </row>
    <row r="228" spans="2:8" x14ac:dyDescent="0.25">
      <c r="B228" t="s">
        <v>1546</v>
      </c>
      <c r="C228" t="s">
        <v>20</v>
      </c>
      <c r="D228">
        <v>288</v>
      </c>
      <c r="F228" t="s">
        <v>1196</v>
      </c>
      <c r="H228">
        <v>64</v>
      </c>
    </row>
    <row r="229" spans="2:8" x14ac:dyDescent="0.25">
      <c r="B229" t="s">
        <v>598</v>
      </c>
      <c r="C229" t="s">
        <v>20</v>
      </c>
      <c r="D229">
        <v>282</v>
      </c>
      <c r="F229" t="s">
        <v>1200</v>
      </c>
      <c r="H229">
        <v>245</v>
      </c>
    </row>
    <row r="230" spans="2:8" x14ac:dyDescent="0.25">
      <c r="B230" t="s">
        <v>1530</v>
      </c>
      <c r="C230" t="s">
        <v>20</v>
      </c>
      <c r="D230">
        <v>280</v>
      </c>
      <c r="F230" t="s">
        <v>1205</v>
      </c>
      <c r="H230">
        <v>71</v>
      </c>
    </row>
    <row r="231" spans="2:8" x14ac:dyDescent="0.25">
      <c r="B231" t="s">
        <v>1673</v>
      </c>
      <c r="C231" t="s">
        <v>20</v>
      </c>
      <c r="D231">
        <v>279</v>
      </c>
      <c r="F231" t="s">
        <v>1207</v>
      </c>
      <c r="H231">
        <v>42</v>
      </c>
    </row>
    <row r="232" spans="2:8" x14ac:dyDescent="0.25">
      <c r="B232" t="s">
        <v>284</v>
      </c>
      <c r="C232" t="s">
        <v>20</v>
      </c>
      <c r="D232">
        <v>275</v>
      </c>
      <c r="F232" t="s">
        <v>1216</v>
      </c>
      <c r="H232">
        <v>156</v>
      </c>
    </row>
    <row r="233" spans="2:8" x14ac:dyDescent="0.25">
      <c r="B233" t="s">
        <v>1371</v>
      </c>
      <c r="C233" t="s">
        <v>20</v>
      </c>
      <c r="D233">
        <v>272</v>
      </c>
      <c r="F233" t="s">
        <v>1218</v>
      </c>
      <c r="H233">
        <v>1368</v>
      </c>
    </row>
    <row r="234" spans="2:8" x14ac:dyDescent="0.25">
      <c r="B234" t="s">
        <v>1538</v>
      </c>
      <c r="C234" t="s">
        <v>20</v>
      </c>
      <c r="D234">
        <v>270</v>
      </c>
      <c r="F234" t="s">
        <v>1220</v>
      </c>
      <c r="H234">
        <v>102</v>
      </c>
    </row>
    <row r="235" spans="2:8" x14ac:dyDescent="0.25">
      <c r="B235" t="s">
        <v>1413</v>
      </c>
      <c r="C235" t="s">
        <v>20</v>
      </c>
      <c r="D235">
        <v>269</v>
      </c>
      <c r="F235" t="s">
        <v>1222</v>
      </c>
      <c r="H235">
        <v>86</v>
      </c>
    </row>
    <row r="236" spans="2:8" x14ac:dyDescent="0.25">
      <c r="B236" t="s">
        <v>1036</v>
      </c>
      <c r="C236" t="s">
        <v>20</v>
      </c>
      <c r="D236">
        <v>268</v>
      </c>
      <c r="F236" t="s">
        <v>1226</v>
      </c>
      <c r="H236">
        <v>253</v>
      </c>
    </row>
    <row r="237" spans="2:8" x14ac:dyDescent="0.25">
      <c r="B237" t="s">
        <v>1954</v>
      </c>
      <c r="C237" t="s">
        <v>20</v>
      </c>
      <c r="D237">
        <v>266</v>
      </c>
      <c r="F237" t="s">
        <v>1230</v>
      </c>
      <c r="H237">
        <v>157</v>
      </c>
    </row>
    <row r="238" spans="2:8" x14ac:dyDescent="0.25">
      <c r="B238" t="s">
        <v>1352</v>
      </c>
      <c r="C238" t="s">
        <v>20</v>
      </c>
      <c r="D238">
        <v>264</v>
      </c>
      <c r="F238" t="s">
        <v>1234</v>
      </c>
      <c r="H238">
        <v>183</v>
      </c>
    </row>
    <row r="239" spans="2:8" x14ac:dyDescent="0.25">
      <c r="B239" t="s">
        <v>572</v>
      </c>
      <c r="C239" t="s">
        <v>20</v>
      </c>
      <c r="D239">
        <v>261</v>
      </c>
      <c r="F239" t="s">
        <v>1240</v>
      </c>
      <c r="H239">
        <v>82</v>
      </c>
    </row>
    <row r="240" spans="2:8" x14ac:dyDescent="0.25">
      <c r="B240" t="s">
        <v>1709</v>
      </c>
      <c r="C240" t="s">
        <v>20</v>
      </c>
      <c r="D240">
        <v>261</v>
      </c>
      <c r="F240" t="s">
        <v>1242</v>
      </c>
      <c r="H240">
        <v>1</v>
      </c>
    </row>
    <row r="241" spans="2:8" x14ac:dyDescent="0.25">
      <c r="B241" t="s">
        <v>1872</v>
      </c>
      <c r="C241" t="s">
        <v>20</v>
      </c>
      <c r="D241">
        <v>255</v>
      </c>
      <c r="F241" t="s">
        <v>1278</v>
      </c>
      <c r="H241">
        <v>1198</v>
      </c>
    </row>
    <row r="242" spans="2:8" x14ac:dyDescent="0.25">
      <c r="B242" t="s">
        <v>622</v>
      </c>
      <c r="C242" t="s">
        <v>20</v>
      </c>
      <c r="D242">
        <v>254</v>
      </c>
      <c r="F242" t="s">
        <v>1280</v>
      </c>
      <c r="H242">
        <v>648</v>
      </c>
    </row>
    <row r="243" spans="2:8" x14ac:dyDescent="0.25">
      <c r="B243" t="s">
        <v>718</v>
      </c>
      <c r="C243" t="s">
        <v>20</v>
      </c>
      <c r="D243">
        <v>253</v>
      </c>
      <c r="F243" t="s">
        <v>1286</v>
      </c>
      <c r="H243">
        <v>64</v>
      </c>
    </row>
    <row r="244" spans="2:8" x14ac:dyDescent="0.25">
      <c r="B244" t="s">
        <v>1679</v>
      </c>
      <c r="C244" t="s">
        <v>20</v>
      </c>
      <c r="D244">
        <v>252</v>
      </c>
      <c r="F244" t="s">
        <v>1292</v>
      </c>
      <c r="H244">
        <v>62</v>
      </c>
    </row>
    <row r="245" spans="2:8" x14ac:dyDescent="0.25">
      <c r="B245" t="s">
        <v>536</v>
      </c>
      <c r="C245" t="s">
        <v>20</v>
      </c>
      <c r="D245">
        <v>250</v>
      </c>
      <c r="F245" t="s">
        <v>1300</v>
      </c>
      <c r="H245">
        <v>750</v>
      </c>
    </row>
    <row r="246" spans="2:8" x14ac:dyDescent="0.25">
      <c r="B246" t="s">
        <v>172</v>
      </c>
      <c r="C246" t="s">
        <v>20</v>
      </c>
      <c r="D246">
        <v>249</v>
      </c>
      <c r="F246" t="s">
        <v>1308</v>
      </c>
      <c r="H246">
        <v>105</v>
      </c>
    </row>
    <row r="247" spans="2:8" x14ac:dyDescent="0.25">
      <c r="B247" t="s">
        <v>921</v>
      </c>
      <c r="C247" t="s">
        <v>20</v>
      </c>
      <c r="D247">
        <v>249</v>
      </c>
      <c r="F247" t="s">
        <v>1314</v>
      </c>
      <c r="H247">
        <v>2604</v>
      </c>
    </row>
    <row r="248" spans="2:8" x14ac:dyDescent="0.25">
      <c r="B248" t="s">
        <v>925</v>
      </c>
      <c r="C248" t="s">
        <v>20</v>
      </c>
      <c r="D248">
        <v>247</v>
      </c>
      <c r="F248" t="s">
        <v>1316</v>
      </c>
      <c r="H248">
        <v>65</v>
      </c>
    </row>
    <row r="249" spans="2:8" x14ac:dyDescent="0.25">
      <c r="B249" t="s">
        <v>1125</v>
      </c>
      <c r="C249" t="s">
        <v>20</v>
      </c>
      <c r="D249">
        <v>247</v>
      </c>
      <c r="F249" t="s">
        <v>1318</v>
      </c>
      <c r="H249">
        <v>94</v>
      </c>
    </row>
    <row r="250" spans="2:8" x14ac:dyDescent="0.25">
      <c r="B250" t="s">
        <v>184</v>
      </c>
      <c r="C250" t="s">
        <v>20</v>
      </c>
      <c r="D250">
        <v>246</v>
      </c>
      <c r="F250" t="s">
        <v>1322</v>
      </c>
      <c r="H250">
        <v>257</v>
      </c>
    </row>
    <row r="251" spans="2:8" x14ac:dyDescent="0.25">
      <c r="B251" t="s">
        <v>378</v>
      </c>
      <c r="C251" t="s">
        <v>20</v>
      </c>
      <c r="D251">
        <v>246</v>
      </c>
      <c r="F251" t="s">
        <v>1330</v>
      </c>
      <c r="H251">
        <v>2928</v>
      </c>
    </row>
    <row r="252" spans="2:8" x14ac:dyDescent="0.25">
      <c r="B252" t="s">
        <v>878</v>
      </c>
      <c r="C252" t="s">
        <v>20</v>
      </c>
      <c r="D252">
        <v>245</v>
      </c>
      <c r="F252" t="s">
        <v>1332</v>
      </c>
      <c r="H252">
        <v>4697</v>
      </c>
    </row>
    <row r="253" spans="2:8" x14ac:dyDescent="0.25">
      <c r="B253" t="s">
        <v>384</v>
      </c>
      <c r="C253" t="s">
        <v>20</v>
      </c>
      <c r="D253">
        <v>244</v>
      </c>
      <c r="F253" t="s">
        <v>1334</v>
      </c>
      <c r="H253">
        <v>2915</v>
      </c>
    </row>
    <row r="254" spans="2:8" x14ac:dyDescent="0.25">
      <c r="B254" t="s">
        <v>1178</v>
      </c>
      <c r="C254" t="s">
        <v>20</v>
      </c>
      <c r="D254">
        <v>244</v>
      </c>
      <c r="F254" t="s">
        <v>1336</v>
      </c>
      <c r="H254">
        <v>18</v>
      </c>
    </row>
    <row r="255" spans="2:8" x14ac:dyDescent="0.25">
      <c r="B255" t="s">
        <v>1080</v>
      </c>
      <c r="C255" t="s">
        <v>20</v>
      </c>
      <c r="D255">
        <v>241</v>
      </c>
      <c r="F255" t="s">
        <v>1340</v>
      </c>
      <c r="H255">
        <v>602</v>
      </c>
    </row>
    <row r="256" spans="2:8" x14ac:dyDescent="0.25">
      <c r="B256" t="s">
        <v>1070</v>
      </c>
      <c r="C256" t="s">
        <v>20</v>
      </c>
      <c r="D256">
        <v>239</v>
      </c>
      <c r="F256" t="s">
        <v>1342</v>
      </c>
      <c r="H256">
        <v>1</v>
      </c>
    </row>
    <row r="257" spans="2:8" x14ac:dyDescent="0.25">
      <c r="B257" t="s">
        <v>538</v>
      </c>
      <c r="C257" t="s">
        <v>20</v>
      </c>
      <c r="D257">
        <v>238</v>
      </c>
      <c r="F257" t="s">
        <v>1344</v>
      </c>
      <c r="H257">
        <v>3868</v>
      </c>
    </row>
    <row r="258" spans="2:8" x14ac:dyDescent="0.25">
      <c r="B258" t="s">
        <v>1274</v>
      </c>
      <c r="C258" t="s">
        <v>20</v>
      </c>
      <c r="D258">
        <v>238</v>
      </c>
      <c r="F258" t="s">
        <v>1354</v>
      </c>
      <c r="H258">
        <v>504</v>
      </c>
    </row>
    <row r="259" spans="2:8" x14ac:dyDescent="0.25">
      <c r="B259" t="s">
        <v>1421</v>
      </c>
      <c r="C259" t="s">
        <v>20</v>
      </c>
      <c r="D259">
        <v>237</v>
      </c>
      <c r="F259" t="s">
        <v>1356</v>
      </c>
      <c r="H259">
        <v>14</v>
      </c>
    </row>
    <row r="260" spans="2:8" x14ac:dyDescent="0.25">
      <c r="B260" t="s">
        <v>178</v>
      </c>
      <c r="C260" t="s">
        <v>20</v>
      </c>
      <c r="D260">
        <v>236</v>
      </c>
      <c r="F260" t="s">
        <v>1360</v>
      </c>
      <c r="H260">
        <v>750</v>
      </c>
    </row>
    <row r="261" spans="2:8" x14ac:dyDescent="0.25">
      <c r="B261" t="s">
        <v>1842</v>
      </c>
      <c r="C261" t="s">
        <v>20</v>
      </c>
      <c r="D261">
        <v>236</v>
      </c>
      <c r="F261" t="s">
        <v>1362</v>
      </c>
      <c r="H261">
        <v>77</v>
      </c>
    </row>
    <row r="262" spans="2:8" x14ac:dyDescent="0.25">
      <c r="B262" t="s">
        <v>1561</v>
      </c>
      <c r="C262" t="s">
        <v>20</v>
      </c>
      <c r="D262">
        <v>235</v>
      </c>
      <c r="F262" t="s">
        <v>1364</v>
      </c>
      <c r="H262">
        <v>752</v>
      </c>
    </row>
    <row r="263" spans="2:8" x14ac:dyDescent="0.25">
      <c r="B263" t="s">
        <v>1348</v>
      </c>
      <c r="C263" t="s">
        <v>20</v>
      </c>
      <c r="D263">
        <v>234</v>
      </c>
      <c r="F263" t="s">
        <v>1366</v>
      </c>
      <c r="H263">
        <v>131</v>
      </c>
    </row>
    <row r="264" spans="2:8" x14ac:dyDescent="0.25">
      <c r="B264" t="s">
        <v>1641</v>
      </c>
      <c r="C264" t="s">
        <v>20</v>
      </c>
      <c r="D264">
        <v>233</v>
      </c>
      <c r="F264" t="s">
        <v>1368</v>
      </c>
      <c r="H264">
        <v>87</v>
      </c>
    </row>
    <row r="265" spans="2:8" x14ac:dyDescent="0.25">
      <c r="B265" t="s">
        <v>43</v>
      </c>
      <c r="C265" t="s">
        <v>20</v>
      </c>
      <c r="D265">
        <v>227</v>
      </c>
      <c r="F265" t="s">
        <v>708</v>
      </c>
      <c r="H265">
        <v>1063</v>
      </c>
    </row>
    <row r="266" spans="2:8" x14ac:dyDescent="0.25">
      <c r="B266" t="s">
        <v>103</v>
      </c>
      <c r="C266" t="s">
        <v>20</v>
      </c>
      <c r="D266">
        <v>226</v>
      </c>
      <c r="F266" t="s">
        <v>1377</v>
      </c>
      <c r="H266">
        <v>76</v>
      </c>
    </row>
    <row r="267" spans="2:8" x14ac:dyDescent="0.25">
      <c r="B267" t="s">
        <v>2006</v>
      </c>
      <c r="C267" t="s">
        <v>20</v>
      </c>
      <c r="D267">
        <v>226</v>
      </c>
      <c r="F267" t="s">
        <v>1384</v>
      </c>
      <c r="H267">
        <v>4428</v>
      </c>
    </row>
    <row r="268" spans="2:8" x14ac:dyDescent="0.25">
      <c r="B268" t="s">
        <v>1746</v>
      </c>
      <c r="C268" t="s">
        <v>20</v>
      </c>
      <c r="D268">
        <v>225</v>
      </c>
      <c r="F268" t="s">
        <v>1386</v>
      </c>
      <c r="H268">
        <v>58</v>
      </c>
    </row>
    <row r="269" spans="2:8" x14ac:dyDescent="0.25">
      <c r="B269" t="s">
        <v>678</v>
      </c>
      <c r="C269" t="s">
        <v>20</v>
      </c>
      <c r="D269">
        <v>223</v>
      </c>
      <c r="F269" t="s">
        <v>1394</v>
      </c>
      <c r="H269">
        <v>111</v>
      </c>
    </row>
    <row r="270" spans="2:8" x14ac:dyDescent="0.25">
      <c r="B270" t="s">
        <v>129</v>
      </c>
      <c r="C270" t="s">
        <v>20</v>
      </c>
      <c r="D270">
        <v>222</v>
      </c>
      <c r="F270" t="s">
        <v>1399</v>
      </c>
      <c r="H270">
        <v>2955</v>
      </c>
    </row>
    <row r="271" spans="2:8" x14ac:dyDescent="0.25">
      <c r="B271" t="s">
        <v>544</v>
      </c>
      <c r="C271" t="s">
        <v>20</v>
      </c>
      <c r="D271">
        <v>222</v>
      </c>
      <c r="F271" t="s">
        <v>1401</v>
      </c>
      <c r="H271">
        <v>1657</v>
      </c>
    </row>
    <row r="272" spans="2:8" x14ac:dyDescent="0.25">
      <c r="B272" t="s">
        <v>1158</v>
      </c>
      <c r="C272" t="s">
        <v>20</v>
      </c>
      <c r="D272">
        <v>221</v>
      </c>
      <c r="F272" t="s">
        <v>1409</v>
      </c>
      <c r="H272">
        <v>926</v>
      </c>
    </row>
    <row r="273" spans="2:8" x14ac:dyDescent="0.25">
      <c r="B273" t="s">
        <v>1654</v>
      </c>
      <c r="C273" t="s">
        <v>20</v>
      </c>
      <c r="D273">
        <v>221</v>
      </c>
      <c r="F273" t="s">
        <v>1423</v>
      </c>
      <c r="H273">
        <v>77</v>
      </c>
    </row>
    <row r="274" spans="2:8" x14ac:dyDescent="0.25">
      <c r="B274" t="s">
        <v>51</v>
      </c>
      <c r="C274" t="s">
        <v>20</v>
      </c>
      <c r="D274">
        <v>220</v>
      </c>
      <c r="F274" t="s">
        <v>1425</v>
      </c>
      <c r="H274">
        <v>1748</v>
      </c>
    </row>
    <row r="275" spans="2:8" x14ac:dyDescent="0.25">
      <c r="B275" t="s">
        <v>295</v>
      </c>
      <c r="C275" t="s">
        <v>20</v>
      </c>
      <c r="D275">
        <v>220</v>
      </c>
      <c r="F275" t="s">
        <v>1427</v>
      </c>
      <c r="H275">
        <v>79</v>
      </c>
    </row>
    <row r="276" spans="2:8" x14ac:dyDescent="0.25">
      <c r="B276" t="s">
        <v>901</v>
      </c>
      <c r="C276" t="s">
        <v>20</v>
      </c>
      <c r="D276">
        <v>219</v>
      </c>
      <c r="F276" t="s">
        <v>1431</v>
      </c>
      <c r="H276">
        <v>889</v>
      </c>
    </row>
    <row r="277" spans="2:8" x14ac:dyDescent="0.25">
      <c r="B277" t="s">
        <v>548</v>
      </c>
      <c r="C277" t="s">
        <v>20</v>
      </c>
      <c r="D277">
        <v>218</v>
      </c>
      <c r="F277" t="s">
        <v>444</v>
      </c>
      <c r="H277">
        <v>56</v>
      </c>
    </row>
    <row r="278" spans="2:8" x14ac:dyDescent="0.25">
      <c r="B278" t="s">
        <v>1643</v>
      </c>
      <c r="C278" t="s">
        <v>20</v>
      </c>
      <c r="D278">
        <v>218</v>
      </c>
      <c r="F278" t="s">
        <v>1438</v>
      </c>
      <c r="H278">
        <v>1</v>
      </c>
    </row>
    <row r="279" spans="2:8" x14ac:dyDescent="0.25">
      <c r="B279" t="s">
        <v>1758</v>
      </c>
      <c r="C279" t="s">
        <v>20</v>
      </c>
      <c r="D279">
        <v>217</v>
      </c>
      <c r="F279" t="s">
        <v>1442</v>
      </c>
      <c r="H279">
        <v>83</v>
      </c>
    </row>
    <row r="280" spans="2:8" x14ac:dyDescent="0.25">
      <c r="B280" t="s">
        <v>1575</v>
      </c>
      <c r="C280" t="s">
        <v>20</v>
      </c>
      <c r="D280">
        <v>216</v>
      </c>
      <c r="F280" t="s">
        <v>1448</v>
      </c>
      <c r="H280">
        <v>2025</v>
      </c>
    </row>
    <row r="281" spans="2:8" x14ac:dyDescent="0.25">
      <c r="B281" t="s">
        <v>542</v>
      </c>
      <c r="C281" t="s">
        <v>20</v>
      </c>
      <c r="D281">
        <v>214</v>
      </c>
      <c r="F281" t="s">
        <v>1460</v>
      </c>
      <c r="H281">
        <v>14</v>
      </c>
    </row>
    <row r="282" spans="2:8" x14ac:dyDescent="0.25">
      <c r="B282" t="s">
        <v>164</v>
      </c>
      <c r="C282" t="s">
        <v>20</v>
      </c>
      <c r="D282">
        <v>211</v>
      </c>
      <c r="F282" t="s">
        <v>1468</v>
      </c>
      <c r="H282">
        <v>656</v>
      </c>
    </row>
    <row r="283" spans="2:8" x14ac:dyDescent="0.25">
      <c r="B283" t="s">
        <v>997</v>
      </c>
      <c r="C283" t="s">
        <v>20</v>
      </c>
      <c r="D283">
        <v>211</v>
      </c>
      <c r="F283" t="s">
        <v>1488</v>
      </c>
      <c r="H283">
        <v>1596</v>
      </c>
    </row>
    <row r="284" spans="2:8" x14ac:dyDescent="0.25">
      <c r="B284" t="s">
        <v>1675</v>
      </c>
      <c r="C284" t="s">
        <v>20</v>
      </c>
      <c r="D284">
        <v>210</v>
      </c>
      <c r="F284" t="s">
        <v>1494</v>
      </c>
      <c r="H284">
        <v>10</v>
      </c>
    </row>
    <row r="285" spans="2:8" x14ac:dyDescent="0.25">
      <c r="B285" t="s">
        <v>153</v>
      </c>
      <c r="C285" t="s">
        <v>20</v>
      </c>
      <c r="D285">
        <v>209</v>
      </c>
      <c r="F285" t="s">
        <v>1502</v>
      </c>
      <c r="H285">
        <v>1121</v>
      </c>
    </row>
    <row r="286" spans="2:8" x14ac:dyDescent="0.25">
      <c r="B286" t="s">
        <v>1607</v>
      </c>
      <c r="C286" t="s">
        <v>20</v>
      </c>
      <c r="D286">
        <v>207</v>
      </c>
      <c r="F286" t="s">
        <v>1032</v>
      </c>
      <c r="H286">
        <v>15</v>
      </c>
    </row>
    <row r="287" spans="2:8" x14ac:dyDescent="0.25">
      <c r="B287" t="s">
        <v>1960</v>
      </c>
      <c r="C287" t="s">
        <v>20</v>
      </c>
      <c r="D287">
        <v>207</v>
      </c>
      <c r="F287" t="s">
        <v>1515</v>
      </c>
      <c r="H287">
        <v>191</v>
      </c>
    </row>
    <row r="288" spans="2:8" x14ac:dyDescent="0.25">
      <c r="B288" t="s">
        <v>788</v>
      </c>
      <c r="C288" t="s">
        <v>20</v>
      </c>
      <c r="D288">
        <v>206</v>
      </c>
      <c r="F288" t="s">
        <v>1517</v>
      </c>
      <c r="H288">
        <v>16</v>
      </c>
    </row>
    <row r="289" spans="2:8" x14ac:dyDescent="0.25">
      <c r="B289" t="s">
        <v>893</v>
      </c>
      <c r="C289" t="s">
        <v>20</v>
      </c>
      <c r="D289">
        <v>205</v>
      </c>
      <c r="F289" t="s">
        <v>1522</v>
      </c>
      <c r="H289">
        <v>17</v>
      </c>
    </row>
    <row r="290" spans="2:8" x14ac:dyDescent="0.25">
      <c r="B290" t="s">
        <v>221</v>
      </c>
      <c r="C290" t="s">
        <v>20</v>
      </c>
      <c r="D290">
        <v>203</v>
      </c>
      <c r="F290" t="s">
        <v>1526</v>
      </c>
      <c r="H290">
        <v>34</v>
      </c>
    </row>
    <row r="291" spans="2:8" x14ac:dyDescent="0.25">
      <c r="B291" t="s">
        <v>1928</v>
      </c>
      <c r="C291" t="s">
        <v>20</v>
      </c>
      <c r="D291">
        <v>203</v>
      </c>
      <c r="F291" t="s">
        <v>1536</v>
      </c>
      <c r="H291">
        <v>1</v>
      </c>
    </row>
    <row r="292" spans="2:8" x14ac:dyDescent="0.25">
      <c r="B292" t="s">
        <v>1115</v>
      </c>
      <c r="C292" t="s">
        <v>20</v>
      </c>
      <c r="D292">
        <v>202</v>
      </c>
      <c r="F292" t="s">
        <v>1554</v>
      </c>
      <c r="H292">
        <v>1274</v>
      </c>
    </row>
    <row r="293" spans="2:8" x14ac:dyDescent="0.25">
      <c r="B293" t="s">
        <v>1462</v>
      </c>
      <c r="C293" t="s">
        <v>20</v>
      </c>
      <c r="D293">
        <v>202</v>
      </c>
      <c r="F293" t="s">
        <v>1556</v>
      </c>
      <c r="H293">
        <v>210</v>
      </c>
    </row>
    <row r="294" spans="2:8" x14ac:dyDescent="0.25">
      <c r="B294" t="s">
        <v>162</v>
      </c>
      <c r="C294" t="s">
        <v>20</v>
      </c>
      <c r="D294">
        <v>201</v>
      </c>
      <c r="F294" t="s">
        <v>1567</v>
      </c>
      <c r="H294">
        <v>248</v>
      </c>
    </row>
    <row r="295" spans="2:8" x14ac:dyDescent="0.25">
      <c r="B295" t="s">
        <v>346</v>
      </c>
      <c r="C295" t="s">
        <v>20</v>
      </c>
      <c r="D295">
        <v>199</v>
      </c>
      <c r="F295" t="s">
        <v>1569</v>
      </c>
      <c r="H295">
        <v>513</v>
      </c>
    </row>
    <row r="296" spans="2:8" x14ac:dyDescent="0.25">
      <c r="B296" t="s">
        <v>578</v>
      </c>
      <c r="C296" t="s">
        <v>20</v>
      </c>
      <c r="D296">
        <v>199</v>
      </c>
      <c r="F296" t="s">
        <v>1573</v>
      </c>
      <c r="H296">
        <v>3410</v>
      </c>
    </row>
    <row r="297" spans="2:8" x14ac:dyDescent="0.25">
      <c r="B297" t="s">
        <v>1818</v>
      </c>
      <c r="C297" t="s">
        <v>20</v>
      </c>
      <c r="D297">
        <v>199</v>
      </c>
      <c r="F297" t="s">
        <v>1585</v>
      </c>
      <c r="H297">
        <v>10</v>
      </c>
    </row>
    <row r="298" spans="2:8" x14ac:dyDescent="0.25">
      <c r="B298" t="s">
        <v>125</v>
      </c>
      <c r="C298" t="s">
        <v>20</v>
      </c>
      <c r="D298">
        <v>198</v>
      </c>
      <c r="F298" t="s">
        <v>1587</v>
      </c>
      <c r="H298">
        <v>2201</v>
      </c>
    </row>
    <row r="299" spans="2:8" x14ac:dyDescent="0.25">
      <c r="B299" t="s">
        <v>1166</v>
      </c>
      <c r="C299" t="s">
        <v>20</v>
      </c>
      <c r="D299">
        <v>198</v>
      </c>
      <c r="F299" t="s">
        <v>1589</v>
      </c>
      <c r="H299">
        <v>676</v>
      </c>
    </row>
    <row r="300" spans="2:8" x14ac:dyDescent="0.25">
      <c r="B300" t="s">
        <v>1565</v>
      </c>
      <c r="C300" t="s">
        <v>20</v>
      </c>
      <c r="D300">
        <v>198</v>
      </c>
      <c r="F300" t="s">
        <v>1593</v>
      </c>
      <c r="H300">
        <v>831</v>
      </c>
    </row>
    <row r="301" spans="2:8" x14ac:dyDescent="0.25">
      <c r="B301" t="s">
        <v>1429</v>
      </c>
      <c r="C301" t="s">
        <v>20</v>
      </c>
      <c r="D301">
        <v>196</v>
      </c>
      <c r="F301" t="s">
        <v>1609</v>
      </c>
      <c r="H301">
        <v>859</v>
      </c>
    </row>
    <row r="302" spans="2:8" x14ac:dyDescent="0.25">
      <c r="B302" t="s">
        <v>350</v>
      </c>
      <c r="C302" t="s">
        <v>20</v>
      </c>
      <c r="D302">
        <v>195</v>
      </c>
      <c r="F302" t="s">
        <v>1613</v>
      </c>
      <c r="H302">
        <v>45</v>
      </c>
    </row>
    <row r="303" spans="2:8" x14ac:dyDescent="0.25">
      <c r="B303" t="s">
        <v>1038</v>
      </c>
      <c r="C303" t="s">
        <v>20</v>
      </c>
      <c r="D303">
        <v>195</v>
      </c>
      <c r="F303" t="s">
        <v>1617</v>
      </c>
      <c r="H303">
        <v>6</v>
      </c>
    </row>
    <row r="304" spans="2:8" x14ac:dyDescent="0.25">
      <c r="B304" t="s">
        <v>446</v>
      </c>
      <c r="C304" t="s">
        <v>20</v>
      </c>
      <c r="D304">
        <v>194</v>
      </c>
      <c r="F304" t="s">
        <v>1619</v>
      </c>
      <c r="H304">
        <v>7</v>
      </c>
    </row>
    <row r="305" spans="2:8" x14ac:dyDescent="0.25">
      <c r="B305" t="s">
        <v>1244</v>
      </c>
      <c r="C305" t="s">
        <v>20</v>
      </c>
      <c r="D305">
        <v>194</v>
      </c>
      <c r="F305" t="s">
        <v>1625</v>
      </c>
      <c r="H305">
        <v>31</v>
      </c>
    </row>
    <row r="306" spans="2:8" x14ac:dyDescent="0.25">
      <c r="B306" t="s">
        <v>1324</v>
      </c>
      <c r="C306" t="s">
        <v>20</v>
      </c>
      <c r="D306">
        <v>194</v>
      </c>
      <c r="F306" t="s">
        <v>1627</v>
      </c>
      <c r="H306">
        <v>78</v>
      </c>
    </row>
    <row r="307" spans="2:8" x14ac:dyDescent="0.25">
      <c r="B307" t="s">
        <v>1685</v>
      </c>
      <c r="C307" t="s">
        <v>20</v>
      </c>
      <c r="D307">
        <v>194</v>
      </c>
      <c r="F307" t="s">
        <v>1633</v>
      </c>
      <c r="H307">
        <v>1225</v>
      </c>
    </row>
    <row r="308" spans="2:8" x14ac:dyDescent="0.25">
      <c r="B308" t="s">
        <v>1798</v>
      </c>
      <c r="C308" t="s">
        <v>20</v>
      </c>
      <c r="D308">
        <v>193</v>
      </c>
      <c r="F308" t="s">
        <v>1635</v>
      </c>
      <c r="H308">
        <v>1</v>
      </c>
    </row>
    <row r="309" spans="2:8" x14ac:dyDescent="0.25">
      <c r="B309" t="s">
        <v>923</v>
      </c>
      <c r="C309" t="s">
        <v>20</v>
      </c>
      <c r="D309">
        <v>192</v>
      </c>
      <c r="F309" t="s">
        <v>1645</v>
      </c>
      <c r="H309">
        <v>67</v>
      </c>
    </row>
    <row r="310" spans="2:8" x14ac:dyDescent="0.25">
      <c r="B310" t="s">
        <v>1266</v>
      </c>
      <c r="C310" t="s">
        <v>20</v>
      </c>
      <c r="D310">
        <v>192</v>
      </c>
      <c r="F310" t="s">
        <v>1651</v>
      </c>
      <c r="H310">
        <v>19</v>
      </c>
    </row>
    <row r="311" spans="2:8" x14ac:dyDescent="0.25">
      <c r="B311" t="s">
        <v>746</v>
      </c>
      <c r="C311" t="s">
        <v>20</v>
      </c>
      <c r="D311">
        <v>191</v>
      </c>
      <c r="F311" t="s">
        <v>1599</v>
      </c>
      <c r="H311">
        <v>2108</v>
      </c>
    </row>
    <row r="312" spans="2:8" x14ac:dyDescent="0.25">
      <c r="B312" t="s">
        <v>776</v>
      </c>
      <c r="C312" t="s">
        <v>20</v>
      </c>
      <c r="D312">
        <v>191</v>
      </c>
      <c r="F312" t="s">
        <v>1656</v>
      </c>
      <c r="H312">
        <v>679</v>
      </c>
    </row>
    <row r="313" spans="2:8" x14ac:dyDescent="0.25">
      <c r="B313" t="s">
        <v>1844</v>
      </c>
      <c r="C313" t="s">
        <v>20</v>
      </c>
      <c r="D313">
        <v>191</v>
      </c>
      <c r="F313" t="s">
        <v>1662</v>
      </c>
      <c r="H313">
        <v>36</v>
      </c>
    </row>
    <row r="314" spans="2:8" x14ac:dyDescent="0.25">
      <c r="B314" t="s">
        <v>714</v>
      </c>
      <c r="C314" t="s">
        <v>20</v>
      </c>
      <c r="D314">
        <v>190</v>
      </c>
      <c r="F314" t="s">
        <v>1671</v>
      </c>
      <c r="H314">
        <v>47</v>
      </c>
    </row>
    <row r="315" spans="2:8" x14ac:dyDescent="0.25">
      <c r="B315" t="s">
        <v>1419</v>
      </c>
      <c r="C315" t="s">
        <v>20</v>
      </c>
      <c r="D315">
        <v>190</v>
      </c>
      <c r="F315" t="s">
        <v>1689</v>
      </c>
      <c r="H315">
        <v>70</v>
      </c>
    </row>
    <row r="316" spans="2:8" x14ac:dyDescent="0.25">
      <c r="B316" t="s">
        <v>818</v>
      </c>
      <c r="C316" t="s">
        <v>20</v>
      </c>
      <c r="D316">
        <v>189</v>
      </c>
      <c r="F316" t="s">
        <v>1691</v>
      </c>
      <c r="H316">
        <v>154</v>
      </c>
    </row>
    <row r="317" spans="2:8" x14ac:dyDescent="0.25">
      <c r="B317" t="s">
        <v>1294</v>
      </c>
      <c r="C317" t="s">
        <v>20</v>
      </c>
      <c r="D317">
        <v>189</v>
      </c>
      <c r="F317" t="s">
        <v>1693</v>
      </c>
      <c r="H317">
        <v>22</v>
      </c>
    </row>
    <row r="318" spans="2:8" x14ac:dyDescent="0.25">
      <c r="B318" t="s">
        <v>770</v>
      </c>
      <c r="C318" t="s">
        <v>20</v>
      </c>
      <c r="D318">
        <v>187</v>
      </c>
      <c r="F318" t="s">
        <v>1703</v>
      </c>
      <c r="H318">
        <v>1758</v>
      </c>
    </row>
    <row r="319" spans="2:8" x14ac:dyDescent="0.25">
      <c r="B319" t="s">
        <v>332</v>
      </c>
      <c r="C319" t="s">
        <v>20</v>
      </c>
      <c r="D319">
        <v>186</v>
      </c>
      <c r="F319" t="s">
        <v>1705</v>
      </c>
      <c r="H319">
        <v>94</v>
      </c>
    </row>
    <row r="320" spans="2:8" x14ac:dyDescent="0.25">
      <c r="B320" t="s">
        <v>568</v>
      </c>
      <c r="C320" t="s">
        <v>20</v>
      </c>
      <c r="D320">
        <v>186</v>
      </c>
      <c r="F320" t="s">
        <v>1719</v>
      </c>
      <c r="H320">
        <v>33</v>
      </c>
    </row>
    <row r="321" spans="2:8" x14ac:dyDescent="0.25">
      <c r="B321" t="s">
        <v>780</v>
      </c>
      <c r="C321" t="s">
        <v>20</v>
      </c>
      <c r="D321">
        <v>186</v>
      </c>
      <c r="F321" t="s">
        <v>1733</v>
      </c>
      <c r="H321">
        <v>1</v>
      </c>
    </row>
    <row r="322" spans="2:8" x14ac:dyDescent="0.25">
      <c r="B322" t="s">
        <v>477</v>
      </c>
      <c r="C322" t="s">
        <v>20</v>
      </c>
      <c r="D322">
        <v>186</v>
      </c>
      <c r="F322" t="s">
        <v>1737</v>
      </c>
      <c r="H322">
        <v>31</v>
      </c>
    </row>
    <row r="323" spans="2:8" x14ac:dyDescent="0.25">
      <c r="B323" t="s">
        <v>1456</v>
      </c>
      <c r="C323" t="s">
        <v>20</v>
      </c>
      <c r="D323">
        <v>186</v>
      </c>
      <c r="F323" t="s">
        <v>1748</v>
      </c>
      <c r="H323">
        <v>35</v>
      </c>
    </row>
    <row r="324" spans="2:8" x14ac:dyDescent="0.25">
      <c r="B324" t="s">
        <v>1629</v>
      </c>
      <c r="C324" t="s">
        <v>20</v>
      </c>
      <c r="D324">
        <v>185</v>
      </c>
      <c r="F324" t="s">
        <v>1750</v>
      </c>
      <c r="H324">
        <v>63</v>
      </c>
    </row>
    <row r="325" spans="2:8" x14ac:dyDescent="0.25">
      <c r="B325" t="s">
        <v>1890</v>
      </c>
      <c r="C325" t="s">
        <v>20</v>
      </c>
      <c r="D325">
        <v>184</v>
      </c>
      <c r="F325" t="s">
        <v>1770</v>
      </c>
      <c r="H325">
        <v>526</v>
      </c>
    </row>
    <row r="326" spans="2:8" x14ac:dyDescent="0.25">
      <c r="B326" t="s">
        <v>640</v>
      </c>
      <c r="C326" t="s">
        <v>20</v>
      </c>
      <c r="D326">
        <v>183</v>
      </c>
      <c r="F326" t="s">
        <v>1772</v>
      </c>
      <c r="H326">
        <v>121</v>
      </c>
    </row>
    <row r="327" spans="2:8" x14ac:dyDescent="0.25">
      <c r="B327" t="s">
        <v>1664</v>
      </c>
      <c r="C327" t="s">
        <v>20</v>
      </c>
      <c r="D327">
        <v>183</v>
      </c>
      <c r="F327" t="s">
        <v>1782</v>
      </c>
      <c r="H327">
        <v>67</v>
      </c>
    </row>
    <row r="328" spans="2:8" x14ac:dyDescent="0.25">
      <c r="B328" t="s">
        <v>1816</v>
      </c>
      <c r="C328" t="s">
        <v>20</v>
      </c>
      <c r="D328">
        <v>182</v>
      </c>
      <c r="F328" t="s">
        <v>1784</v>
      </c>
      <c r="H328">
        <v>57</v>
      </c>
    </row>
    <row r="329" spans="2:8" x14ac:dyDescent="0.25">
      <c r="B329" t="s">
        <v>1492</v>
      </c>
      <c r="C329" t="s">
        <v>20</v>
      </c>
      <c r="D329">
        <v>181</v>
      </c>
      <c r="F329" t="s">
        <v>1786</v>
      </c>
      <c r="H329">
        <v>1229</v>
      </c>
    </row>
    <row r="330" spans="2:8" x14ac:dyDescent="0.25">
      <c r="B330" t="s">
        <v>1621</v>
      </c>
      <c r="C330" t="s">
        <v>20</v>
      </c>
      <c r="D330">
        <v>181</v>
      </c>
      <c r="F330" t="s">
        <v>1788</v>
      </c>
      <c r="H330">
        <v>12</v>
      </c>
    </row>
    <row r="331" spans="2:8" x14ac:dyDescent="0.25">
      <c r="B331" t="s">
        <v>213</v>
      </c>
      <c r="C331" t="s">
        <v>20</v>
      </c>
      <c r="D331">
        <v>180</v>
      </c>
      <c r="F331" t="s">
        <v>1794</v>
      </c>
      <c r="H331">
        <v>452</v>
      </c>
    </row>
    <row r="332" spans="2:8" x14ac:dyDescent="0.25">
      <c r="B332" t="s">
        <v>237</v>
      </c>
      <c r="C332" t="s">
        <v>20</v>
      </c>
      <c r="D332">
        <v>180</v>
      </c>
      <c r="F332" t="s">
        <v>1800</v>
      </c>
      <c r="H332">
        <v>1886</v>
      </c>
    </row>
    <row r="333" spans="2:8" x14ac:dyDescent="0.25">
      <c r="B333" t="s">
        <v>301</v>
      </c>
      <c r="C333" t="s">
        <v>20</v>
      </c>
      <c r="D333">
        <v>180</v>
      </c>
      <c r="F333" t="s">
        <v>1804</v>
      </c>
      <c r="H333">
        <v>1825</v>
      </c>
    </row>
    <row r="334" spans="2:8" x14ac:dyDescent="0.25">
      <c r="B334" t="s">
        <v>1512</v>
      </c>
      <c r="C334" t="s">
        <v>20</v>
      </c>
      <c r="D334">
        <v>180</v>
      </c>
      <c r="F334" t="s">
        <v>1806</v>
      </c>
      <c r="H334">
        <v>31</v>
      </c>
    </row>
    <row r="335" spans="2:8" x14ac:dyDescent="0.25">
      <c r="B335" t="s">
        <v>1856</v>
      </c>
      <c r="C335" t="s">
        <v>20</v>
      </c>
      <c r="D335">
        <v>179</v>
      </c>
      <c r="F335" t="s">
        <v>1822</v>
      </c>
      <c r="H335">
        <v>107</v>
      </c>
    </row>
    <row r="336" spans="2:8" x14ac:dyDescent="0.25">
      <c r="B336" t="s">
        <v>626</v>
      </c>
      <c r="C336" t="s">
        <v>20</v>
      </c>
      <c r="D336">
        <v>176</v>
      </c>
      <c r="F336" t="s">
        <v>1826</v>
      </c>
      <c r="H336">
        <v>27</v>
      </c>
    </row>
    <row r="337" spans="2:8" x14ac:dyDescent="0.25">
      <c r="B337" t="s">
        <v>1415</v>
      </c>
      <c r="C337" t="s">
        <v>20</v>
      </c>
      <c r="D337">
        <v>175</v>
      </c>
      <c r="F337" t="s">
        <v>1828</v>
      </c>
      <c r="H337">
        <v>1221</v>
      </c>
    </row>
    <row r="338" spans="2:8" x14ac:dyDescent="0.25">
      <c r="B338" t="s">
        <v>34</v>
      </c>
      <c r="C338" t="s">
        <v>20</v>
      </c>
      <c r="D338">
        <v>174</v>
      </c>
      <c r="F338" t="s">
        <v>1832</v>
      </c>
      <c r="H338">
        <v>1</v>
      </c>
    </row>
    <row r="339" spans="2:8" x14ac:dyDescent="0.25">
      <c r="B339" t="s">
        <v>1591</v>
      </c>
      <c r="C339" t="s">
        <v>20</v>
      </c>
      <c r="D339">
        <v>174</v>
      </c>
      <c r="F339" t="s">
        <v>1840</v>
      </c>
      <c r="H339">
        <v>16</v>
      </c>
    </row>
    <row r="340" spans="2:8" x14ac:dyDescent="0.25">
      <c r="B340" t="s">
        <v>1005</v>
      </c>
      <c r="C340" t="s">
        <v>20</v>
      </c>
      <c r="D340">
        <v>173</v>
      </c>
      <c r="F340" t="s">
        <v>1846</v>
      </c>
      <c r="H340">
        <v>41</v>
      </c>
    </row>
    <row r="341" spans="2:8" x14ac:dyDescent="0.25">
      <c r="B341" t="s">
        <v>1729</v>
      </c>
      <c r="C341" t="s">
        <v>20</v>
      </c>
      <c r="D341">
        <v>172</v>
      </c>
      <c r="F341" t="s">
        <v>1858</v>
      </c>
      <c r="H341">
        <v>523</v>
      </c>
    </row>
    <row r="342" spans="2:8" x14ac:dyDescent="0.25">
      <c r="B342" t="s">
        <v>198</v>
      </c>
      <c r="C342" t="s">
        <v>20</v>
      </c>
      <c r="D342">
        <v>170</v>
      </c>
      <c r="F342" t="s">
        <v>1860</v>
      </c>
      <c r="H342">
        <v>141</v>
      </c>
    </row>
    <row r="343" spans="2:8" x14ac:dyDescent="0.25">
      <c r="B343" t="s">
        <v>938</v>
      </c>
      <c r="C343" t="s">
        <v>20</v>
      </c>
      <c r="D343">
        <v>170</v>
      </c>
      <c r="F343" t="s">
        <v>1864</v>
      </c>
      <c r="H343">
        <v>52</v>
      </c>
    </row>
    <row r="344" spans="2:8" x14ac:dyDescent="0.25">
      <c r="B344" t="s">
        <v>1272</v>
      </c>
      <c r="C344" t="s">
        <v>20</v>
      </c>
      <c r="D344">
        <v>170</v>
      </c>
      <c r="F344" t="s">
        <v>1870</v>
      </c>
      <c r="H344">
        <v>225</v>
      </c>
    </row>
    <row r="345" spans="2:8" x14ac:dyDescent="0.25">
      <c r="B345" t="s">
        <v>796</v>
      </c>
      <c r="C345" t="s">
        <v>20</v>
      </c>
      <c r="D345">
        <v>169</v>
      </c>
      <c r="F345" t="s">
        <v>1874</v>
      </c>
      <c r="H345">
        <v>38</v>
      </c>
    </row>
    <row r="346" spans="2:8" x14ac:dyDescent="0.25">
      <c r="B346" t="s">
        <v>477</v>
      </c>
      <c r="C346" t="s">
        <v>20</v>
      </c>
      <c r="D346">
        <v>168</v>
      </c>
      <c r="F346" t="s">
        <v>1884</v>
      </c>
      <c r="H346">
        <v>15</v>
      </c>
    </row>
    <row r="347" spans="2:8" x14ac:dyDescent="0.25">
      <c r="B347" t="s">
        <v>1452</v>
      </c>
      <c r="C347" t="s">
        <v>20</v>
      </c>
      <c r="D347">
        <v>168</v>
      </c>
      <c r="F347" t="s">
        <v>1886</v>
      </c>
      <c r="H347">
        <v>37</v>
      </c>
    </row>
    <row r="348" spans="2:8" x14ac:dyDescent="0.25">
      <c r="B348" t="s">
        <v>1558</v>
      </c>
      <c r="C348" t="s">
        <v>20</v>
      </c>
      <c r="D348">
        <v>166</v>
      </c>
      <c r="F348" t="s">
        <v>1894</v>
      </c>
      <c r="H348">
        <v>112</v>
      </c>
    </row>
    <row r="349" spans="2:8" x14ac:dyDescent="0.25">
      <c r="B349" t="s">
        <v>111</v>
      </c>
      <c r="C349" t="s">
        <v>20</v>
      </c>
      <c r="D349">
        <v>165</v>
      </c>
      <c r="F349" t="s">
        <v>1246</v>
      </c>
      <c r="H349">
        <v>21</v>
      </c>
    </row>
    <row r="350" spans="2:8" x14ac:dyDescent="0.25">
      <c r="B350" t="s">
        <v>481</v>
      </c>
      <c r="C350" t="s">
        <v>20</v>
      </c>
      <c r="D350">
        <v>165</v>
      </c>
      <c r="F350" t="s">
        <v>1909</v>
      </c>
      <c r="H350">
        <v>67</v>
      </c>
    </row>
    <row r="351" spans="2:8" x14ac:dyDescent="0.25">
      <c r="B351" t="s">
        <v>1699</v>
      </c>
      <c r="C351" t="s">
        <v>20</v>
      </c>
      <c r="D351">
        <v>165</v>
      </c>
      <c r="F351" t="s">
        <v>1913</v>
      </c>
      <c r="H351">
        <v>78</v>
      </c>
    </row>
    <row r="352" spans="2:8" x14ac:dyDescent="0.25">
      <c r="B352" t="s">
        <v>1814</v>
      </c>
      <c r="C352" t="s">
        <v>20</v>
      </c>
      <c r="D352">
        <v>165</v>
      </c>
      <c r="F352" t="s">
        <v>1907</v>
      </c>
      <c r="H352">
        <v>67</v>
      </c>
    </row>
    <row r="353" spans="2:8" x14ac:dyDescent="0.25">
      <c r="B353" t="s">
        <v>160</v>
      </c>
      <c r="C353" t="s">
        <v>20</v>
      </c>
      <c r="D353">
        <v>164</v>
      </c>
      <c r="F353" t="s">
        <v>1918</v>
      </c>
      <c r="H353">
        <v>263</v>
      </c>
    </row>
    <row r="354" spans="2:8" x14ac:dyDescent="0.25">
      <c r="B354" t="s">
        <v>247</v>
      </c>
      <c r="C354" t="s">
        <v>20</v>
      </c>
      <c r="D354">
        <v>164</v>
      </c>
      <c r="F354" t="s">
        <v>1920</v>
      </c>
      <c r="H354">
        <v>1691</v>
      </c>
    </row>
    <row r="355" spans="2:8" x14ac:dyDescent="0.25">
      <c r="B355" t="s">
        <v>251</v>
      </c>
      <c r="C355" t="s">
        <v>20</v>
      </c>
      <c r="D355">
        <v>164</v>
      </c>
      <c r="F355" t="s">
        <v>1922</v>
      </c>
      <c r="H355">
        <v>181</v>
      </c>
    </row>
    <row r="356" spans="2:8" x14ac:dyDescent="0.25">
      <c r="B356" t="s">
        <v>372</v>
      </c>
      <c r="C356" t="s">
        <v>20</v>
      </c>
      <c r="D356">
        <v>164</v>
      </c>
      <c r="F356" t="s">
        <v>1924</v>
      </c>
      <c r="H356">
        <v>13</v>
      </c>
    </row>
    <row r="357" spans="2:8" x14ac:dyDescent="0.25">
      <c r="B357" t="s">
        <v>1595</v>
      </c>
      <c r="C357" t="s">
        <v>20</v>
      </c>
      <c r="D357">
        <v>164</v>
      </c>
      <c r="F357" t="s">
        <v>1930</v>
      </c>
      <c r="H357">
        <v>1</v>
      </c>
    </row>
    <row r="358" spans="2:8" x14ac:dyDescent="0.25">
      <c r="B358" t="s">
        <v>87</v>
      </c>
      <c r="C358" t="s">
        <v>20</v>
      </c>
      <c r="D358">
        <v>163</v>
      </c>
      <c r="F358" t="s">
        <v>1936</v>
      </c>
      <c r="H358">
        <v>21</v>
      </c>
    </row>
    <row r="359" spans="2:8" x14ac:dyDescent="0.25">
      <c r="B359" t="s">
        <v>1754</v>
      </c>
      <c r="C359" t="s">
        <v>20</v>
      </c>
      <c r="D359">
        <v>163</v>
      </c>
      <c r="F359" t="s">
        <v>1942</v>
      </c>
      <c r="H359">
        <v>830</v>
      </c>
    </row>
    <row r="360" spans="2:8" x14ac:dyDescent="0.25">
      <c r="B360" t="s">
        <v>1599</v>
      </c>
      <c r="C360" t="s">
        <v>20</v>
      </c>
      <c r="D360">
        <v>161</v>
      </c>
      <c r="F360" t="s">
        <v>1948</v>
      </c>
      <c r="H360">
        <v>130</v>
      </c>
    </row>
    <row r="361" spans="2:8" x14ac:dyDescent="0.25">
      <c r="B361" t="s">
        <v>1254</v>
      </c>
      <c r="C361" t="s">
        <v>20</v>
      </c>
      <c r="D361">
        <v>160</v>
      </c>
      <c r="F361" t="s">
        <v>1950</v>
      </c>
      <c r="H361">
        <v>55</v>
      </c>
    </row>
    <row r="362" spans="2:8" x14ac:dyDescent="0.25">
      <c r="B362" t="s">
        <v>1735</v>
      </c>
      <c r="C362" t="s">
        <v>20</v>
      </c>
      <c r="D362">
        <v>160</v>
      </c>
      <c r="F362" t="s">
        <v>1956</v>
      </c>
      <c r="H362">
        <v>114</v>
      </c>
    </row>
    <row r="363" spans="2:8" x14ac:dyDescent="0.25">
      <c r="B363" t="s">
        <v>317</v>
      </c>
      <c r="C363" t="s">
        <v>20</v>
      </c>
      <c r="D363">
        <v>159</v>
      </c>
      <c r="F363" t="s">
        <v>1969</v>
      </c>
      <c r="H363">
        <v>594</v>
      </c>
    </row>
    <row r="364" spans="2:8" x14ac:dyDescent="0.25">
      <c r="B364" t="s">
        <v>986</v>
      </c>
      <c r="C364" t="s">
        <v>20</v>
      </c>
      <c r="D364">
        <v>159</v>
      </c>
      <c r="F364" t="s">
        <v>1971</v>
      </c>
      <c r="H364">
        <v>24</v>
      </c>
    </row>
    <row r="365" spans="2:8" x14ac:dyDescent="0.25">
      <c r="B365" t="s">
        <v>1834</v>
      </c>
      <c r="C365" t="s">
        <v>20</v>
      </c>
      <c r="D365">
        <v>159</v>
      </c>
      <c r="F365" t="s">
        <v>1975</v>
      </c>
      <c r="H365">
        <v>252</v>
      </c>
    </row>
    <row r="366" spans="2:8" x14ac:dyDescent="0.25">
      <c r="B366" t="s">
        <v>18</v>
      </c>
      <c r="C366" t="s">
        <v>20</v>
      </c>
      <c r="D366">
        <v>158</v>
      </c>
      <c r="F366" t="s">
        <v>1258</v>
      </c>
      <c r="H366">
        <v>67</v>
      </c>
    </row>
    <row r="367" spans="2:8" x14ac:dyDescent="0.25">
      <c r="B367" t="s">
        <v>1599</v>
      </c>
      <c r="C367" t="s">
        <v>20</v>
      </c>
      <c r="D367">
        <v>158</v>
      </c>
      <c r="F367" t="s">
        <v>1988</v>
      </c>
      <c r="H367">
        <v>742</v>
      </c>
    </row>
    <row r="368" spans="2:8" x14ac:dyDescent="0.25">
      <c r="B368" t="s">
        <v>376</v>
      </c>
      <c r="C368" t="s">
        <v>20</v>
      </c>
      <c r="D368">
        <v>157</v>
      </c>
      <c r="F368" t="s">
        <v>1992</v>
      </c>
      <c r="H368">
        <v>75</v>
      </c>
    </row>
    <row r="369" spans="2:8" x14ac:dyDescent="0.25">
      <c r="B369" t="s">
        <v>454</v>
      </c>
      <c r="C369" t="s">
        <v>20</v>
      </c>
      <c r="D369">
        <v>157</v>
      </c>
      <c r="F369" t="s">
        <v>1998</v>
      </c>
      <c r="H369">
        <v>4405</v>
      </c>
    </row>
    <row r="370" spans="2:8" x14ac:dyDescent="0.25">
      <c r="B370" t="s">
        <v>1470</v>
      </c>
      <c r="C370" t="s">
        <v>20</v>
      </c>
      <c r="D370">
        <v>157</v>
      </c>
      <c r="F370" t="s">
        <v>2000</v>
      </c>
      <c r="H370">
        <v>92</v>
      </c>
    </row>
    <row r="371" spans="2:8" x14ac:dyDescent="0.25">
      <c r="B371" t="s">
        <v>1683</v>
      </c>
      <c r="C371" t="s">
        <v>20</v>
      </c>
      <c r="D371">
        <v>157</v>
      </c>
      <c r="F371" t="s">
        <v>2004</v>
      </c>
      <c r="H371">
        <v>64</v>
      </c>
    </row>
    <row r="372" spans="2:8" x14ac:dyDescent="0.25">
      <c r="B372" t="s">
        <v>1711</v>
      </c>
      <c r="C372" t="s">
        <v>20</v>
      </c>
      <c r="D372">
        <v>157</v>
      </c>
      <c r="F372" t="s">
        <v>2008</v>
      </c>
      <c r="H372">
        <v>64</v>
      </c>
    </row>
    <row r="373" spans="2:8" x14ac:dyDescent="0.25">
      <c r="B373" t="s">
        <v>1139</v>
      </c>
      <c r="C373" t="s">
        <v>20</v>
      </c>
      <c r="D373">
        <v>156</v>
      </c>
      <c r="F373" t="s">
        <v>2015</v>
      </c>
      <c r="H373">
        <v>842</v>
      </c>
    </row>
    <row r="374" spans="2:8" x14ac:dyDescent="0.25">
      <c r="B374" t="s">
        <v>1868</v>
      </c>
      <c r="C374" t="s">
        <v>20</v>
      </c>
      <c r="D374">
        <v>156</v>
      </c>
      <c r="F374" t="s">
        <v>2019</v>
      </c>
      <c r="H374">
        <v>112</v>
      </c>
    </row>
    <row r="375" spans="2:8" x14ac:dyDescent="0.25">
      <c r="B375" t="s">
        <v>814</v>
      </c>
      <c r="C375" t="s">
        <v>20</v>
      </c>
      <c r="D375">
        <v>155</v>
      </c>
      <c r="F375" t="s">
        <v>2023</v>
      </c>
      <c r="H375">
        <v>374</v>
      </c>
    </row>
    <row r="376" spans="2:8" x14ac:dyDescent="0.25">
      <c r="B376" t="s">
        <v>1715</v>
      </c>
      <c r="C376" t="s">
        <v>20</v>
      </c>
      <c r="D376">
        <v>155</v>
      </c>
    </row>
    <row r="377" spans="2:8" x14ac:dyDescent="0.25">
      <c r="B377" t="s">
        <v>1952</v>
      </c>
      <c r="C377" t="s">
        <v>20</v>
      </c>
      <c r="D377">
        <v>155</v>
      </c>
    </row>
    <row r="378" spans="2:8" x14ac:dyDescent="0.25">
      <c r="B378" t="s">
        <v>1958</v>
      </c>
      <c r="C378" t="s">
        <v>20</v>
      </c>
      <c r="D378">
        <v>155</v>
      </c>
    </row>
    <row r="379" spans="2:8" x14ac:dyDescent="0.25">
      <c r="B379" t="s">
        <v>288</v>
      </c>
      <c r="C379" t="s">
        <v>20</v>
      </c>
      <c r="D379">
        <v>154</v>
      </c>
    </row>
    <row r="380" spans="2:8" x14ac:dyDescent="0.25">
      <c r="B380" t="s">
        <v>790</v>
      </c>
      <c r="C380" t="s">
        <v>20</v>
      </c>
      <c r="D380">
        <v>154</v>
      </c>
    </row>
    <row r="381" spans="2:8" x14ac:dyDescent="0.25">
      <c r="B381" t="s">
        <v>867</v>
      </c>
      <c r="C381" t="s">
        <v>20</v>
      </c>
      <c r="D381">
        <v>154</v>
      </c>
    </row>
    <row r="382" spans="2:8" x14ac:dyDescent="0.25">
      <c r="B382" t="s">
        <v>1296</v>
      </c>
      <c r="C382" t="s">
        <v>20</v>
      </c>
      <c r="D382">
        <v>154</v>
      </c>
    </row>
    <row r="383" spans="2:8" x14ac:dyDescent="0.25">
      <c r="B383" t="s">
        <v>1571</v>
      </c>
      <c r="C383" t="s">
        <v>20</v>
      </c>
      <c r="D383">
        <v>150</v>
      </c>
    </row>
    <row r="384" spans="2:8" x14ac:dyDescent="0.25">
      <c r="B384" t="s">
        <v>1760</v>
      </c>
      <c r="C384" t="s">
        <v>20</v>
      </c>
      <c r="D384">
        <v>150</v>
      </c>
    </row>
    <row r="385" spans="2:4" x14ac:dyDescent="0.25">
      <c r="B385" t="s">
        <v>140</v>
      </c>
      <c r="C385" t="s">
        <v>20</v>
      </c>
      <c r="D385">
        <v>149</v>
      </c>
    </row>
    <row r="386" spans="2:4" x14ac:dyDescent="0.25">
      <c r="B386" t="s">
        <v>520</v>
      </c>
      <c r="C386" t="s">
        <v>20</v>
      </c>
      <c r="D386">
        <v>149</v>
      </c>
    </row>
    <row r="387" spans="2:4" x14ac:dyDescent="0.25">
      <c r="B387" t="s">
        <v>1548</v>
      </c>
      <c r="C387" t="s">
        <v>20</v>
      </c>
      <c r="D387">
        <v>148</v>
      </c>
    </row>
    <row r="388" spans="2:4" x14ac:dyDescent="0.25">
      <c r="B388" t="s">
        <v>1563</v>
      </c>
      <c r="C388" t="s">
        <v>20</v>
      </c>
      <c r="D388">
        <v>148</v>
      </c>
    </row>
    <row r="389" spans="2:4" x14ac:dyDescent="0.25">
      <c r="B389" t="s">
        <v>261</v>
      </c>
      <c r="C389" t="s">
        <v>20</v>
      </c>
      <c r="D389">
        <v>147</v>
      </c>
    </row>
    <row r="390" spans="2:4" x14ac:dyDescent="0.25">
      <c r="B390" t="s">
        <v>1097</v>
      </c>
      <c r="C390" t="s">
        <v>20</v>
      </c>
      <c r="D390">
        <v>147</v>
      </c>
    </row>
    <row r="391" spans="2:4" x14ac:dyDescent="0.25">
      <c r="B391" t="s">
        <v>1405</v>
      </c>
      <c r="C391" t="s">
        <v>20</v>
      </c>
      <c r="D391">
        <v>147</v>
      </c>
    </row>
    <row r="392" spans="2:4" x14ac:dyDescent="0.25">
      <c r="B392" t="s">
        <v>386</v>
      </c>
      <c r="C392" t="s">
        <v>20</v>
      </c>
      <c r="D392">
        <v>146</v>
      </c>
    </row>
    <row r="393" spans="2:4" x14ac:dyDescent="0.25">
      <c r="B393" t="s">
        <v>1027</v>
      </c>
      <c r="C393" t="s">
        <v>20</v>
      </c>
      <c r="D393">
        <v>144</v>
      </c>
    </row>
    <row r="394" spans="2:4" x14ac:dyDescent="0.25">
      <c r="B394" t="s">
        <v>1192</v>
      </c>
      <c r="C394" t="s">
        <v>20</v>
      </c>
      <c r="D394">
        <v>144</v>
      </c>
    </row>
    <row r="395" spans="2:4" x14ac:dyDescent="0.25">
      <c r="B395" t="s">
        <v>1484</v>
      </c>
      <c r="C395" t="s">
        <v>20</v>
      </c>
      <c r="D395">
        <v>144</v>
      </c>
    </row>
    <row r="396" spans="2:4" x14ac:dyDescent="0.25">
      <c r="B396" t="s">
        <v>1896</v>
      </c>
      <c r="C396" t="s">
        <v>20</v>
      </c>
      <c r="D396">
        <v>144</v>
      </c>
    </row>
    <row r="397" spans="2:4" x14ac:dyDescent="0.25">
      <c r="B397" t="s">
        <v>933</v>
      </c>
      <c r="C397" t="s">
        <v>20</v>
      </c>
      <c r="D397">
        <v>143</v>
      </c>
    </row>
    <row r="398" spans="2:4" x14ac:dyDescent="0.25">
      <c r="B398" t="s">
        <v>83</v>
      </c>
      <c r="C398" t="s">
        <v>20</v>
      </c>
      <c r="D398">
        <v>142</v>
      </c>
    </row>
    <row r="399" spans="2:4" x14ac:dyDescent="0.25">
      <c r="B399" t="s">
        <v>660</v>
      </c>
      <c r="C399" t="s">
        <v>20</v>
      </c>
      <c r="D399">
        <v>142</v>
      </c>
    </row>
    <row r="400" spans="2:4" x14ac:dyDescent="0.25">
      <c r="B400" t="s">
        <v>995</v>
      </c>
      <c r="C400" t="s">
        <v>20</v>
      </c>
      <c r="D400">
        <v>142</v>
      </c>
    </row>
    <row r="401" spans="2:4" x14ac:dyDescent="0.25">
      <c r="B401" t="s">
        <v>1639</v>
      </c>
      <c r="C401" t="s">
        <v>20</v>
      </c>
      <c r="D401">
        <v>142</v>
      </c>
    </row>
    <row r="402" spans="2:4" x14ac:dyDescent="0.25">
      <c r="B402" t="s">
        <v>1117</v>
      </c>
      <c r="C402" t="s">
        <v>20</v>
      </c>
      <c r="D402">
        <v>140</v>
      </c>
    </row>
    <row r="403" spans="2:4" x14ac:dyDescent="0.25">
      <c r="B403" t="s">
        <v>1524</v>
      </c>
      <c r="C403" t="s">
        <v>20</v>
      </c>
      <c r="D403">
        <v>140</v>
      </c>
    </row>
    <row r="404" spans="2:4" x14ac:dyDescent="0.25">
      <c r="B404" t="s">
        <v>1981</v>
      </c>
      <c r="C404" t="s">
        <v>20</v>
      </c>
      <c r="D404">
        <v>140</v>
      </c>
    </row>
    <row r="405" spans="2:4" x14ac:dyDescent="0.25">
      <c r="B405" t="s">
        <v>778</v>
      </c>
      <c r="C405" t="s">
        <v>20</v>
      </c>
      <c r="D405">
        <v>139</v>
      </c>
    </row>
    <row r="406" spans="2:4" x14ac:dyDescent="0.25">
      <c r="B406" t="s">
        <v>982</v>
      </c>
      <c r="C406" t="s">
        <v>20</v>
      </c>
      <c r="D406">
        <v>139</v>
      </c>
    </row>
    <row r="407" spans="2:4" x14ac:dyDescent="0.25">
      <c r="B407" t="s">
        <v>497</v>
      </c>
      <c r="C407" t="s">
        <v>20</v>
      </c>
      <c r="D407">
        <v>138</v>
      </c>
    </row>
    <row r="408" spans="2:4" x14ac:dyDescent="0.25">
      <c r="B408" t="s">
        <v>570</v>
      </c>
      <c r="C408" t="s">
        <v>20</v>
      </c>
      <c r="D408">
        <v>138</v>
      </c>
    </row>
    <row r="409" spans="2:4" x14ac:dyDescent="0.25">
      <c r="B409" t="s">
        <v>1601</v>
      </c>
      <c r="C409" t="s">
        <v>20</v>
      </c>
      <c r="D409">
        <v>138</v>
      </c>
    </row>
    <row r="410" spans="2:4" x14ac:dyDescent="0.25">
      <c r="B410" t="s">
        <v>1454</v>
      </c>
      <c r="C410" t="s">
        <v>20</v>
      </c>
      <c r="D410">
        <v>137</v>
      </c>
    </row>
    <row r="411" spans="2:4" x14ac:dyDescent="0.25">
      <c r="B411" t="s">
        <v>1542</v>
      </c>
      <c r="C411" t="s">
        <v>20</v>
      </c>
      <c r="D411">
        <v>137</v>
      </c>
    </row>
    <row r="412" spans="2:4" x14ac:dyDescent="0.25">
      <c r="B412" t="s">
        <v>1212</v>
      </c>
      <c r="C412" t="s">
        <v>20</v>
      </c>
      <c r="D412">
        <v>136</v>
      </c>
    </row>
    <row r="413" spans="2:4" x14ac:dyDescent="0.25">
      <c r="B413" t="s">
        <v>340</v>
      </c>
      <c r="C413" t="s">
        <v>20</v>
      </c>
      <c r="D413">
        <v>135</v>
      </c>
    </row>
    <row r="414" spans="2:4" x14ac:dyDescent="0.25">
      <c r="B414" t="s">
        <v>1155</v>
      </c>
      <c r="C414" t="s">
        <v>20</v>
      </c>
      <c r="D414">
        <v>135</v>
      </c>
    </row>
    <row r="415" spans="2:4" x14ac:dyDescent="0.25">
      <c r="B415" t="s">
        <v>1979</v>
      </c>
      <c r="C415" t="s">
        <v>20</v>
      </c>
      <c r="D415">
        <v>135</v>
      </c>
    </row>
    <row r="416" spans="2:4" x14ac:dyDescent="0.25">
      <c r="B416" t="s">
        <v>120</v>
      </c>
      <c r="C416" t="s">
        <v>20</v>
      </c>
      <c r="D416">
        <v>134</v>
      </c>
    </row>
    <row r="417" spans="2:4" x14ac:dyDescent="0.25">
      <c r="B417" t="s">
        <v>874</v>
      </c>
      <c r="C417" t="s">
        <v>20</v>
      </c>
      <c r="D417">
        <v>134</v>
      </c>
    </row>
    <row r="418" spans="2:4" x14ac:dyDescent="0.25">
      <c r="B418" t="s">
        <v>1411</v>
      </c>
      <c r="C418" t="s">
        <v>20</v>
      </c>
      <c r="D418">
        <v>134</v>
      </c>
    </row>
    <row r="419" spans="2:4" x14ac:dyDescent="0.25">
      <c r="B419" t="s">
        <v>616</v>
      </c>
      <c r="C419" t="s">
        <v>20</v>
      </c>
      <c r="D419">
        <v>133</v>
      </c>
    </row>
    <row r="420" spans="2:4" x14ac:dyDescent="0.25">
      <c r="B420" t="s">
        <v>680</v>
      </c>
      <c r="C420" t="s">
        <v>20</v>
      </c>
      <c r="D420">
        <v>133</v>
      </c>
    </row>
    <row r="421" spans="2:4" x14ac:dyDescent="0.25">
      <c r="B421" t="s">
        <v>1666</v>
      </c>
      <c r="C421" t="s">
        <v>20</v>
      </c>
      <c r="D421">
        <v>133</v>
      </c>
    </row>
    <row r="422" spans="2:4" x14ac:dyDescent="0.25">
      <c r="B422" t="s">
        <v>1717</v>
      </c>
      <c r="C422" t="s">
        <v>20</v>
      </c>
      <c r="D422">
        <v>132</v>
      </c>
    </row>
    <row r="423" spans="2:4" x14ac:dyDescent="0.25">
      <c r="B423" t="s">
        <v>1902</v>
      </c>
      <c r="C423" t="s">
        <v>20</v>
      </c>
      <c r="D423">
        <v>132</v>
      </c>
    </row>
    <row r="424" spans="2:4" x14ac:dyDescent="0.25">
      <c r="B424" t="s">
        <v>2011</v>
      </c>
      <c r="C424" t="s">
        <v>20</v>
      </c>
      <c r="D424">
        <v>132</v>
      </c>
    </row>
    <row r="425" spans="2:4" x14ac:dyDescent="0.25">
      <c r="B425" t="s">
        <v>157</v>
      </c>
      <c r="C425" t="s">
        <v>20</v>
      </c>
      <c r="D425">
        <v>131</v>
      </c>
    </row>
    <row r="426" spans="2:4" x14ac:dyDescent="0.25">
      <c r="B426" t="s">
        <v>276</v>
      </c>
      <c r="C426" t="s">
        <v>20</v>
      </c>
      <c r="D426">
        <v>131</v>
      </c>
    </row>
    <row r="427" spans="2:4" x14ac:dyDescent="0.25">
      <c r="B427" t="s">
        <v>804</v>
      </c>
      <c r="C427" t="s">
        <v>20</v>
      </c>
      <c r="D427">
        <v>131</v>
      </c>
    </row>
    <row r="428" spans="2:4" x14ac:dyDescent="0.25">
      <c r="B428" t="s">
        <v>1066</v>
      </c>
      <c r="C428" t="s">
        <v>20</v>
      </c>
      <c r="D428">
        <v>131</v>
      </c>
    </row>
    <row r="429" spans="2:4" x14ac:dyDescent="0.25">
      <c r="B429" t="s">
        <v>1944</v>
      </c>
      <c r="C429" t="s">
        <v>20</v>
      </c>
      <c r="D429">
        <v>131</v>
      </c>
    </row>
    <row r="430" spans="2:4" x14ac:dyDescent="0.25">
      <c r="B430" t="s">
        <v>1214</v>
      </c>
      <c r="C430" t="s">
        <v>20</v>
      </c>
      <c r="D430">
        <v>130</v>
      </c>
    </row>
    <row r="431" spans="2:4" x14ac:dyDescent="0.25">
      <c r="B431" t="s">
        <v>628</v>
      </c>
      <c r="C431" t="s">
        <v>20</v>
      </c>
      <c r="D431">
        <v>130</v>
      </c>
    </row>
    <row r="432" spans="2:4" x14ac:dyDescent="0.25">
      <c r="B432" t="s">
        <v>101</v>
      </c>
      <c r="C432" t="s">
        <v>20</v>
      </c>
      <c r="D432">
        <v>129</v>
      </c>
    </row>
    <row r="433" spans="2:4" x14ac:dyDescent="0.25">
      <c r="B433" t="s">
        <v>1326</v>
      </c>
      <c r="C433" t="s">
        <v>20</v>
      </c>
      <c r="D433">
        <v>129</v>
      </c>
    </row>
    <row r="434" spans="2:4" x14ac:dyDescent="0.25">
      <c r="B434" t="s">
        <v>166</v>
      </c>
      <c r="C434" t="s">
        <v>20</v>
      </c>
      <c r="D434">
        <v>128</v>
      </c>
    </row>
    <row r="435" spans="2:4" x14ac:dyDescent="0.25">
      <c r="B435" t="s">
        <v>1282</v>
      </c>
      <c r="C435" t="s">
        <v>20</v>
      </c>
      <c r="D435">
        <v>128</v>
      </c>
    </row>
    <row r="436" spans="2:4" x14ac:dyDescent="0.25">
      <c r="B436" t="s">
        <v>209</v>
      </c>
      <c r="C436" t="s">
        <v>20</v>
      </c>
      <c r="D436">
        <v>127</v>
      </c>
    </row>
    <row r="437" spans="2:4" x14ac:dyDescent="0.25">
      <c r="B437" t="s">
        <v>1605</v>
      </c>
      <c r="C437" t="s">
        <v>20</v>
      </c>
      <c r="D437">
        <v>127</v>
      </c>
    </row>
    <row r="438" spans="2:4" x14ac:dyDescent="0.25">
      <c r="B438" t="s">
        <v>278</v>
      </c>
      <c r="C438" t="s">
        <v>20</v>
      </c>
      <c r="D438">
        <v>126</v>
      </c>
    </row>
    <row r="439" spans="2:4" x14ac:dyDescent="0.25">
      <c r="B439" t="s">
        <v>440</v>
      </c>
      <c r="C439" t="s">
        <v>20</v>
      </c>
      <c r="D439">
        <v>126</v>
      </c>
    </row>
    <row r="440" spans="2:4" x14ac:dyDescent="0.25">
      <c r="B440" t="s">
        <v>1109</v>
      </c>
      <c r="C440" t="s">
        <v>20</v>
      </c>
      <c r="D440">
        <v>126</v>
      </c>
    </row>
    <row r="441" spans="2:4" x14ac:dyDescent="0.25">
      <c r="B441" t="s">
        <v>1160</v>
      </c>
      <c r="C441" t="s">
        <v>20</v>
      </c>
      <c r="D441">
        <v>126</v>
      </c>
    </row>
    <row r="442" spans="2:4" x14ac:dyDescent="0.25">
      <c r="B442" t="s">
        <v>1768</v>
      </c>
      <c r="C442" t="s">
        <v>20</v>
      </c>
      <c r="D442">
        <v>126</v>
      </c>
    </row>
    <row r="443" spans="2:4" x14ac:dyDescent="0.25">
      <c r="B443" t="s">
        <v>1458</v>
      </c>
      <c r="C443" t="s">
        <v>20</v>
      </c>
      <c r="D443">
        <v>125</v>
      </c>
    </row>
    <row r="444" spans="2:4" x14ac:dyDescent="0.25">
      <c r="B444" t="s">
        <v>847</v>
      </c>
      <c r="C444" t="s">
        <v>20</v>
      </c>
      <c r="D444">
        <v>123</v>
      </c>
    </row>
    <row r="445" spans="2:4" x14ac:dyDescent="0.25">
      <c r="B445" t="s">
        <v>1476</v>
      </c>
      <c r="C445" t="s">
        <v>20</v>
      </c>
      <c r="D445">
        <v>123</v>
      </c>
    </row>
    <row r="446" spans="2:4" x14ac:dyDescent="0.25">
      <c r="B446" t="s">
        <v>1830</v>
      </c>
      <c r="C446" t="s">
        <v>20</v>
      </c>
      <c r="D446">
        <v>123</v>
      </c>
    </row>
    <row r="447" spans="2:4" x14ac:dyDescent="0.25">
      <c r="B447" t="s">
        <v>442</v>
      </c>
      <c r="C447" t="s">
        <v>20</v>
      </c>
      <c r="D447">
        <v>122</v>
      </c>
    </row>
    <row r="448" spans="2:4" x14ac:dyDescent="0.25">
      <c r="B448" t="s">
        <v>1496</v>
      </c>
      <c r="C448" t="s">
        <v>20</v>
      </c>
      <c r="D448">
        <v>122</v>
      </c>
    </row>
    <row r="449" spans="2:4" x14ac:dyDescent="0.25">
      <c r="B449" t="s">
        <v>1520</v>
      </c>
      <c r="C449" t="s">
        <v>20</v>
      </c>
      <c r="D449">
        <v>122</v>
      </c>
    </row>
    <row r="450" spans="2:4" x14ac:dyDescent="0.25">
      <c r="B450" t="s">
        <v>1810</v>
      </c>
      <c r="C450" t="s">
        <v>20</v>
      </c>
      <c r="D450">
        <v>122</v>
      </c>
    </row>
    <row r="451" spans="2:4" x14ac:dyDescent="0.25">
      <c r="B451" t="s">
        <v>674</v>
      </c>
      <c r="C451" t="s">
        <v>20</v>
      </c>
      <c r="D451">
        <v>121</v>
      </c>
    </row>
    <row r="452" spans="2:4" x14ac:dyDescent="0.25">
      <c r="B452" t="s">
        <v>1486</v>
      </c>
      <c r="C452" t="s">
        <v>20</v>
      </c>
      <c r="D452">
        <v>121</v>
      </c>
    </row>
    <row r="453" spans="2:4" x14ac:dyDescent="0.25">
      <c r="B453" t="s">
        <v>1631</v>
      </c>
      <c r="C453" t="s">
        <v>20</v>
      </c>
      <c r="D453">
        <v>121</v>
      </c>
    </row>
    <row r="454" spans="2:4" x14ac:dyDescent="0.25">
      <c r="B454" t="s">
        <v>1701</v>
      </c>
      <c r="C454" t="s">
        <v>20</v>
      </c>
      <c r="D454">
        <v>119</v>
      </c>
    </row>
    <row r="455" spans="2:4" x14ac:dyDescent="0.25">
      <c r="B455" t="s">
        <v>336</v>
      </c>
      <c r="C455" t="s">
        <v>20</v>
      </c>
      <c r="D455">
        <v>117</v>
      </c>
    </row>
    <row r="456" spans="2:4" x14ac:dyDescent="0.25">
      <c r="B456" t="s">
        <v>1260</v>
      </c>
      <c r="C456" t="s">
        <v>20</v>
      </c>
      <c r="D456">
        <v>117</v>
      </c>
    </row>
    <row r="457" spans="2:4" x14ac:dyDescent="0.25">
      <c r="B457" t="s">
        <v>602</v>
      </c>
      <c r="C457" t="s">
        <v>20</v>
      </c>
      <c r="D457">
        <v>116</v>
      </c>
    </row>
    <row r="458" spans="2:4" x14ac:dyDescent="0.25">
      <c r="B458" t="s">
        <v>1446</v>
      </c>
      <c r="C458" t="s">
        <v>20</v>
      </c>
      <c r="D458">
        <v>116</v>
      </c>
    </row>
    <row r="459" spans="2:4" x14ac:dyDescent="0.25">
      <c r="B459" t="s">
        <v>1023</v>
      </c>
      <c r="C459" t="s">
        <v>20</v>
      </c>
      <c r="D459">
        <v>115</v>
      </c>
    </row>
    <row r="460" spans="2:4" x14ac:dyDescent="0.25">
      <c r="B460" t="s">
        <v>1550</v>
      </c>
      <c r="C460" t="s">
        <v>20</v>
      </c>
      <c r="D460">
        <v>114</v>
      </c>
    </row>
    <row r="461" spans="2:4" x14ac:dyDescent="0.25">
      <c r="B461" t="s">
        <v>1916</v>
      </c>
      <c r="C461" t="s">
        <v>20</v>
      </c>
      <c r="D461">
        <v>114</v>
      </c>
    </row>
    <row r="462" spans="2:4" x14ac:dyDescent="0.25">
      <c r="B462" t="s">
        <v>1965</v>
      </c>
      <c r="C462" t="s">
        <v>20</v>
      </c>
      <c r="D462">
        <v>114</v>
      </c>
    </row>
    <row r="463" spans="2:4" x14ac:dyDescent="0.25">
      <c r="B463" t="s">
        <v>225</v>
      </c>
      <c r="C463" t="s">
        <v>20</v>
      </c>
      <c r="D463">
        <v>113</v>
      </c>
    </row>
    <row r="464" spans="2:4" x14ac:dyDescent="0.25">
      <c r="B464" t="s">
        <v>243</v>
      </c>
      <c r="C464" t="s">
        <v>20</v>
      </c>
      <c r="D464">
        <v>113</v>
      </c>
    </row>
    <row r="465" spans="2:4" x14ac:dyDescent="0.25">
      <c r="B465" t="s">
        <v>253</v>
      </c>
      <c r="C465" t="s">
        <v>20</v>
      </c>
      <c r="D465">
        <v>112</v>
      </c>
    </row>
    <row r="466" spans="2:4" x14ac:dyDescent="0.25">
      <c r="B466" t="s">
        <v>782</v>
      </c>
      <c r="C466" t="s">
        <v>20</v>
      </c>
      <c r="D466">
        <v>112</v>
      </c>
    </row>
    <row r="467" spans="2:4" x14ac:dyDescent="0.25">
      <c r="B467" t="s">
        <v>1946</v>
      </c>
      <c r="C467" t="s">
        <v>20</v>
      </c>
      <c r="D467">
        <v>112</v>
      </c>
    </row>
    <row r="468" spans="2:4" x14ac:dyDescent="0.25">
      <c r="B468" t="s">
        <v>127</v>
      </c>
      <c r="C468" t="s">
        <v>20</v>
      </c>
      <c r="D468">
        <v>111</v>
      </c>
    </row>
    <row r="469" spans="2:4" x14ac:dyDescent="0.25">
      <c r="B469" t="s">
        <v>1407</v>
      </c>
      <c r="C469" t="s">
        <v>20</v>
      </c>
      <c r="D469">
        <v>110</v>
      </c>
    </row>
    <row r="470" spans="2:4" x14ac:dyDescent="0.25">
      <c r="B470" t="s">
        <v>1623</v>
      </c>
      <c r="C470" t="s">
        <v>20</v>
      </c>
      <c r="D470">
        <v>110</v>
      </c>
    </row>
    <row r="471" spans="2:4" x14ac:dyDescent="0.25">
      <c r="B471" t="s">
        <v>1727</v>
      </c>
      <c r="C471" t="s">
        <v>20</v>
      </c>
      <c r="D471">
        <v>110</v>
      </c>
    </row>
    <row r="472" spans="2:4" x14ac:dyDescent="0.25">
      <c r="B472" t="s">
        <v>1836</v>
      </c>
      <c r="C472" t="s">
        <v>20</v>
      </c>
      <c r="D472">
        <v>110</v>
      </c>
    </row>
    <row r="473" spans="2:4" x14ac:dyDescent="0.25">
      <c r="B473" t="s">
        <v>117</v>
      </c>
      <c r="C473" t="s">
        <v>20</v>
      </c>
      <c r="D473">
        <v>107</v>
      </c>
    </row>
    <row r="474" spans="2:4" x14ac:dyDescent="0.25">
      <c r="B474" t="s">
        <v>348</v>
      </c>
      <c r="C474" t="s">
        <v>20</v>
      </c>
      <c r="D474">
        <v>107</v>
      </c>
    </row>
    <row r="475" spans="2:4" x14ac:dyDescent="0.25">
      <c r="B475" t="s">
        <v>576</v>
      </c>
      <c r="C475" t="s">
        <v>20</v>
      </c>
      <c r="D475">
        <v>107</v>
      </c>
    </row>
    <row r="476" spans="2:4" x14ac:dyDescent="0.25">
      <c r="B476" t="s">
        <v>634</v>
      </c>
      <c r="C476" t="s">
        <v>20</v>
      </c>
      <c r="D476">
        <v>107</v>
      </c>
    </row>
    <row r="477" spans="2:4" x14ac:dyDescent="0.25">
      <c r="B477" t="s">
        <v>1252</v>
      </c>
      <c r="C477" t="s">
        <v>20</v>
      </c>
      <c r="D477">
        <v>107</v>
      </c>
    </row>
    <row r="478" spans="2:4" x14ac:dyDescent="0.25">
      <c r="B478" t="s">
        <v>993</v>
      </c>
      <c r="C478" t="s">
        <v>20</v>
      </c>
      <c r="D478">
        <v>106</v>
      </c>
    </row>
    <row r="479" spans="2:4" x14ac:dyDescent="0.25">
      <c r="B479" t="s">
        <v>1637</v>
      </c>
      <c r="C479" t="s">
        <v>20</v>
      </c>
      <c r="D479">
        <v>106</v>
      </c>
    </row>
    <row r="480" spans="2:4" x14ac:dyDescent="0.25">
      <c r="B480" t="s">
        <v>1900</v>
      </c>
      <c r="C480" t="s">
        <v>20</v>
      </c>
      <c r="D480">
        <v>105</v>
      </c>
    </row>
    <row r="481" spans="2:4" x14ac:dyDescent="0.25">
      <c r="B481" t="s">
        <v>1403</v>
      </c>
      <c r="C481" t="s">
        <v>20</v>
      </c>
      <c r="D481">
        <v>103</v>
      </c>
    </row>
    <row r="482" spans="2:4" x14ac:dyDescent="0.25">
      <c r="B482" t="s">
        <v>1464</v>
      </c>
      <c r="C482" t="s">
        <v>20</v>
      </c>
      <c r="D482">
        <v>103</v>
      </c>
    </row>
    <row r="483" spans="2:4" x14ac:dyDescent="0.25">
      <c r="B483" t="s">
        <v>1224</v>
      </c>
      <c r="C483" t="s">
        <v>20</v>
      </c>
      <c r="D483">
        <v>102</v>
      </c>
    </row>
    <row r="484" spans="2:4" x14ac:dyDescent="0.25">
      <c r="B484" t="s">
        <v>1248</v>
      </c>
      <c r="C484" t="s">
        <v>20</v>
      </c>
      <c r="D484">
        <v>102</v>
      </c>
    </row>
    <row r="485" spans="2:4" x14ac:dyDescent="0.25">
      <c r="B485" t="s">
        <v>512</v>
      </c>
      <c r="C485" t="s">
        <v>20</v>
      </c>
      <c r="D485">
        <v>101</v>
      </c>
    </row>
    <row r="486" spans="2:4" x14ac:dyDescent="0.25">
      <c r="B486" t="s">
        <v>784</v>
      </c>
      <c r="C486" t="s">
        <v>20</v>
      </c>
      <c r="D486">
        <v>101</v>
      </c>
    </row>
    <row r="487" spans="2:4" x14ac:dyDescent="0.25">
      <c r="B487" t="s">
        <v>66</v>
      </c>
      <c r="C487" t="s">
        <v>20</v>
      </c>
      <c r="D487">
        <v>100</v>
      </c>
    </row>
    <row r="488" spans="2:4" x14ac:dyDescent="0.25">
      <c r="B488" t="s">
        <v>668</v>
      </c>
      <c r="C488" t="s">
        <v>20</v>
      </c>
      <c r="D488">
        <v>100</v>
      </c>
    </row>
    <row r="489" spans="2:4" x14ac:dyDescent="0.25">
      <c r="B489" t="s">
        <v>58</v>
      </c>
      <c r="C489" t="s">
        <v>20</v>
      </c>
      <c r="D489">
        <v>98</v>
      </c>
    </row>
    <row r="490" spans="2:4" x14ac:dyDescent="0.25">
      <c r="B490" t="s">
        <v>134</v>
      </c>
      <c r="C490" t="s">
        <v>20</v>
      </c>
      <c r="D490">
        <v>98</v>
      </c>
    </row>
    <row r="491" spans="2:4" x14ac:dyDescent="0.25">
      <c r="B491" t="s">
        <v>528</v>
      </c>
      <c r="C491" t="s">
        <v>20</v>
      </c>
      <c r="D491">
        <v>97</v>
      </c>
    </row>
    <row r="492" spans="2:4" x14ac:dyDescent="0.25">
      <c r="B492" t="s">
        <v>227</v>
      </c>
      <c r="C492" t="s">
        <v>20</v>
      </c>
      <c r="D492">
        <v>96</v>
      </c>
    </row>
    <row r="493" spans="2:4" x14ac:dyDescent="0.25">
      <c r="B493" t="s">
        <v>1298</v>
      </c>
      <c r="C493" t="s">
        <v>20</v>
      </c>
      <c r="D493">
        <v>96</v>
      </c>
    </row>
    <row r="494" spans="2:4" x14ac:dyDescent="0.25">
      <c r="B494" t="s">
        <v>1907</v>
      </c>
      <c r="C494" t="s">
        <v>20</v>
      </c>
      <c r="D494">
        <v>96</v>
      </c>
    </row>
    <row r="495" spans="2:4" x14ac:dyDescent="0.25">
      <c r="B495" t="s">
        <v>259</v>
      </c>
      <c r="C495" t="s">
        <v>20</v>
      </c>
      <c r="D495">
        <v>95</v>
      </c>
    </row>
    <row r="496" spans="2:4" x14ac:dyDescent="0.25">
      <c r="B496" t="s">
        <v>299</v>
      </c>
      <c r="C496" t="s">
        <v>20</v>
      </c>
      <c r="D496">
        <v>94</v>
      </c>
    </row>
    <row r="497" spans="2:4" x14ac:dyDescent="0.25">
      <c r="B497" t="s">
        <v>889</v>
      </c>
      <c r="C497" t="s">
        <v>20</v>
      </c>
      <c r="D497">
        <v>94</v>
      </c>
    </row>
    <row r="498" spans="2:4" x14ac:dyDescent="0.25">
      <c r="B498" t="s">
        <v>911</v>
      </c>
      <c r="C498" t="s">
        <v>20</v>
      </c>
      <c r="D498">
        <v>94</v>
      </c>
    </row>
    <row r="499" spans="2:4" x14ac:dyDescent="0.25">
      <c r="B499" t="s">
        <v>1967</v>
      </c>
      <c r="C499" t="s">
        <v>20</v>
      </c>
      <c r="D499">
        <v>93</v>
      </c>
    </row>
    <row r="500" spans="2:4" x14ac:dyDescent="0.25">
      <c r="B500" t="s">
        <v>138</v>
      </c>
      <c r="C500" t="s">
        <v>20</v>
      </c>
      <c r="D500">
        <v>92</v>
      </c>
    </row>
    <row r="501" spans="2:4" x14ac:dyDescent="0.25">
      <c r="B501" t="s">
        <v>516</v>
      </c>
      <c r="C501" t="s">
        <v>20</v>
      </c>
      <c r="D501">
        <v>92</v>
      </c>
    </row>
    <row r="502" spans="2:4" x14ac:dyDescent="0.25">
      <c r="B502" t="s">
        <v>566</v>
      </c>
      <c r="C502" t="s">
        <v>20</v>
      </c>
      <c r="D502">
        <v>92</v>
      </c>
    </row>
    <row r="503" spans="2:4" x14ac:dyDescent="0.25">
      <c r="B503" t="s">
        <v>899</v>
      </c>
      <c r="C503" t="s">
        <v>20</v>
      </c>
      <c r="D503">
        <v>92</v>
      </c>
    </row>
    <row r="504" spans="2:4" x14ac:dyDescent="0.25">
      <c r="B504" t="s">
        <v>1984</v>
      </c>
      <c r="C504" t="s">
        <v>20</v>
      </c>
      <c r="D504">
        <v>92</v>
      </c>
    </row>
    <row r="505" spans="2:4" x14ac:dyDescent="0.25">
      <c r="B505" t="s">
        <v>608</v>
      </c>
      <c r="C505" t="s">
        <v>20</v>
      </c>
      <c r="D505">
        <v>91</v>
      </c>
    </row>
    <row r="506" spans="2:4" x14ac:dyDescent="0.25">
      <c r="B506" t="s">
        <v>315</v>
      </c>
      <c r="C506" t="s">
        <v>20</v>
      </c>
      <c r="D506">
        <v>89</v>
      </c>
    </row>
    <row r="507" spans="2:4" x14ac:dyDescent="0.25">
      <c r="B507" t="s">
        <v>1091</v>
      </c>
      <c r="C507" t="s">
        <v>20</v>
      </c>
      <c r="D507">
        <v>89</v>
      </c>
    </row>
    <row r="508" spans="2:4" x14ac:dyDescent="0.25">
      <c r="B508" t="s">
        <v>194</v>
      </c>
      <c r="C508" t="s">
        <v>20</v>
      </c>
      <c r="D508">
        <v>88</v>
      </c>
    </row>
    <row r="509" spans="2:4" x14ac:dyDescent="0.25">
      <c r="B509" t="s">
        <v>560</v>
      </c>
      <c r="C509" t="s">
        <v>20</v>
      </c>
      <c r="D509">
        <v>88</v>
      </c>
    </row>
    <row r="510" spans="2:4" x14ac:dyDescent="0.25">
      <c r="B510" t="s">
        <v>774</v>
      </c>
      <c r="C510" t="s">
        <v>20</v>
      </c>
      <c r="D510">
        <v>88</v>
      </c>
    </row>
    <row r="511" spans="2:4" x14ac:dyDescent="0.25">
      <c r="B511" t="s">
        <v>1137</v>
      </c>
      <c r="C511" t="s">
        <v>20</v>
      </c>
      <c r="D511">
        <v>88</v>
      </c>
    </row>
    <row r="512" spans="2:4" x14ac:dyDescent="0.25">
      <c r="B512" t="s">
        <v>590</v>
      </c>
      <c r="C512" t="s">
        <v>20</v>
      </c>
      <c r="D512">
        <v>87</v>
      </c>
    </row>
    <row r="513" spans="2:4" x14ac:dyDescent="0.25">
      <c r="B513" t="s">
        <v>1007</v>
      </c>
      <c r="C513" t="s">
        <v>20</v>
      </c>
      <c r="D513">
        <v>87</v>
      </c>
    </row>
    <row r="514" spans="2:4" x14ac:dyDescent="0.25">
      <c r="B514" t="s">
        <v>1202</v>
      </c>
      <c r="C514" t="s">
        <v>20</v>
      </c>
      <c r="D514">
        <v>87</v>
      </c>
    </row>
    <row r="515" spans="2:4" x14ac:dyDescent="0.25">
      <c r="B515" t="s">
        <v>263</v>
      </c>
      <c r="C515" t="s">
        <v>20</v>
      </c>
      <c r="D515">
        <v>86</v>
      </c>
    </row>
    <row r="516" spans="2:4" x14ac:dyDescent="0.25">
      <c r="B516" t="s">
        <v>582</v>
      </c>
      <c r="C516" t="s">
        <v>20</v>
      </c>
      <c r="D516">
        <v>86</v>
      </c>
    </row>
    <row r="517" spans="2:4" x14ac:dyDescent="0.25">
      <c r="B517" t="s">
        <v>946</v>
      </c>
      <c r="C517" t="s">
        <v>20</v>
      </c>
      <c r="D517">
        <v>86</v>
      </c>
    </row>
    <row r="518" spans="2:4" x14ac:dyDescent="0.25">
      <c r="B518" t="s">
        <v>196</v>
      </c>
      <c r="C518" t="s">
        <v>20</v>
      </c>
      <c r="D518">
        <v>85</v>
      </c>
    </row>
    <row r="519" spans="2:4" x14ac:dyDescent="0.25">
      <c r="B519" t="s">
        <v>662</v>
      </c>
      <c r="C519" t="s">
        <v>20</v>
      </c>
      <c r="D519">
        <v>85</v>
      </c>
    </row>
    <row r="520" spans="2:4" x14ac:dyDescent="0.25">
      <c r="B520" t="s">
        <v>1025</v>
      </c>
      <c r="C520" t="s">
        <v>20</v>
      </c>
      <c r="D520">
        <v>85</v>
      </c>
    </row>
    <row r="521" spans="2:4" x14ac:dyDescent="0.25">
      <c r="B521" t="s">
        <v>1170</v>
      </c>
      <c r="C521" t="s">
        <v>20</v>
      </c>
      <c r="D521">
        <v>85</v>
      </c>
    </row>
    <row r="522" spans="2:4" x14ac:dyDescent="0.25">
      <c r="B522" t="s">
        <v>1756</v>
      </c>
      <c r="C522" t="s">
        <v>20</v>
      </c>
      <c r="D522">
        <v>85</v>
      </c>
    </row>
    <row r="523" spans="2:4" x14ac:dyDescent="0.25">
      <c r="B523" t="s">
        <v>1892</v>
      </c>
      <c r="C523" t="s">
        <v>20</v>
      </c>
      <c r="D523">
        <v>85</v>
      </c>
    </row>
    <row r="524" spans="2:4" x14ac:dyDescent="0.25">
      <c r="B524" t="s">
        <v>812</v>
      </c>
      <c r="C524" t="s">
        <v>20</v>
      </c>
      <c r="D524">
        <v>84</v>
      </c>
    </row>
    <row r="525" spans="2:4" x14ac:dyDescent="0.25">
      <c r="B525" t="s">
        <v>1133</v>
      </c>
      <c r="C525" t="s">
        <v>20</v>
      </c>
      <c r="D525">
        <v>84</v>
      </c>
    </row>
    <row r="526" spans="2:4" x14ac:dyDescent="0.25">
      <c r="B526" t="s">
        <v>265</v>
      </c>
      <c r="C526" t="s">
        <v>20</v>
      </c>
      <c r="D526">
        <v>83</v>
      </c>
    </row>
    <row r="527" spans="2:4" x14ac:dyDescent="0.25">
      <c r="B527" t="s">
        <v>606</v>
      </c>
      <c r="C527" t="s">
        <v>20</v>
      </c>
      <c r="D527">
        <v>83</v>
      </c>
    </row>
    <row r="528" spans="2:4" x14ac:dyDescent="0.25">
      <c r="B528" t="s">
        <v>872</v>
      </c>
      <c r="C528" t="s">
        <v>20</v>
      </c>
      <c r="D528">
        <v>82</v>
      </c>
    </row>
    <row r="529" spans="2:4" x14ac:dyDescent="0.25">
      <c r="B529" t="s">
        <v>1687</v>
      </c>
      <c r="C529" t="s">
        <v>20</v>
      </c>
      <c r="D529">
        <v>82</v>
      </c>
    </row>
    <row r="530" spans="2:4" x14ac:dyDescent="0.25">
      <c r="B530" t="s">
        <v>1776</v>
      </c>
      <c r="C530" t="s">
        <v>20</v>
      </c>
      <c r="D530">
        <v>81</v>
      </c>
    </row>
    <row r="531" spans="2:4" x14ac:dyDescent="0.25">
      <c r="B531" t="s">
        <v>462</v>
      </c>
      <c r="C531" t="s">
        <v>20</v>
      </c>
      <c r="D531">
        <v>80</v>
      </c>
    </row>
    <row r="532" spans="2:4" x14ac:dyDescent="0.25">
      <c r="B532" t="s">
        <v>760</v>
      </c>
      <c r="C532" t="s">
        <v>20</v>
      </c>
      <c r="D532">
        <v>80</v>
      </c>
    </row>
    <row r="533" spans="2:4" x14ac:dyDescent="0.25">
      <c r="B533" t="s">
        <v>978</v>
      </c>
      <c r="C533" t="s">
        <v>20</v>
      </c>
      <c r="D533">
        <v>80</v>
      </c>
    </row>
    <row r="534" spans="2:4" x14ac:dyDescent="0.25">
      <c r="B534" t="s">
        <v>1796</v>
      </c>
      <c r="C534" t="s">
        <v>20</v>
      </c>
      <c r="D534">
        <v>80</v>
      </c>
    </row>
    <row r="535" spans="2:4" x14ac:dyDescent="0.25">
      <c r="B535" t="s">
        <v>1850</v>
      </c>
      <c r="C535" t="s">
        <v>20</v>
      </c>
      <c r="D535">
        <v>80</v>
      </c>
    </row>
    <row r="536" spans="2:4" x14ac:dyDescent="0.25">
      <c r="B536" t="s">
        <v>1940</v>
      </c>
      <c r="C536" t="s">
        <v>20</v>
      </c>
      <c r="D536">
        <v>80</v>
      </c>
    </row>
    <row r="537" spans="2:4" x14ac:dyDescent="0.25">
      <c r="B537" t="s">
        <v>1080</v>
      </c>
      <c r="C537" t="s">
        <v>20</v>
      </c>
      <c r="D537">
        <v>78</v>
      </c>
    </row>
    <row r="538" spans="2:4" x14ac:dyDescent="0.25">
      <c r="B538" t="s">
        <v>1583</v>
      </c>
      <c r="C538" t="s">
        <v>20</v>
      </c>
      <c r="D538">
        <v>78</v>
      </c>
    </row>
    <row r="539" spans="2:4" x14ac:dyDescent="0.25">
      <c r="B539" t="s">
        <v>190</v>
      </c>
      <c r="C539" t="s">
        <v>20</v>
      </c>
      <c r="D539">
        <v>76</v>
      </c>
    </row>
    <row r="540" spans="2:4" x14ac:dyDescent="0.25">
      <c r="B540" t="s">
        <v>1647</v>
      </c>
      <c r="C540" t="s">
        <v>20</v>
      </c>
      <c r="D540">
        <v>76</v>
      </c>
    </row>
    <row r="541" spans="2:4" x14ac:dyDescent="0.25">
      <c r="B541" t="s">
        <v>648</v>
      </c>
      <c r="C541" t="s">
        <v>20</v>
      </c>
      <c r="D541">
        <v>72</v>
      </c>
    </row>
    <row r="542" spans="2:4" x14ac:dyDescent="0.25">
      <c r="B542" t="s">
        <v>219</v>
      </c>
      <c r="C542" t="s">
        <v>20</v>
      </c>
      <c r="D542">
        <v>71</v>
      </c>
    </row>
    <row r="543" spans="2:4" x14ac:dyDescent="0.25">
      <c r="B543" t="s">
        <v>338</v>
      </c>
      <c r="C543" t="s">
        <v>20</v>
      </c>
      <c r="D543">
        <v>70</v>
      </c>
    </row>
    <row r="544" spans="2:4" x14ac:dyDescent="0.25">
      <c r="B544" t="s">
        <v>1417</v>
      </c>
      <c r="C544" t="s">
        <v>20</v>
      </c>
      <c r="D544">
        <v>69</v>
      </c>
    </row>
    <row r="545" spans="2:4" x14ac:dyDescent="0.25">
      <c r="B545" t="s">
        <v>676</v>
      </c>
      <c r="C545" t="s">
        <v>20</v>
      </c>
      <c r="D545">
        <v>69</v>
      </c>
    </row>
    <row r="546" spans="2:4" x14ac:dyDescent="0.25">
      <c r="B546" t="s">
        <v>1660</v>
      </c>
      <c r="C546" t="s">
        <v>20</v>
      </c>
      <c r="D546">
        <v>68</v>
      </c>
    </row>
    <row r="547" spans="2:4" x14ac:dyDescent="0.25">
      <c r="B547" t="s">
        <v>286</v>
      </c>
      <c r="C547" t="s">
        <v>20</v>
      </c>
      <c r="D547">
        <v>67</v>
      </c>
    </row>
    <row r="548" spans="2:4" x14ac:dyDescent="0.25">
      <c r="B548" t="s">
        <v>1752</v>
      </c>
      <c r="C548" t="s">
        <v>20</v>
      </c>
      <c r="D548">
        <v>65</v>
      </c>
    </row>
    <row r="549" spans="2:4" x14ac:dyDescent="0.25">
      <c r="B549" t="s">
        <v>1882</v>
      </c>
      <c r="C549" t="s">
        <v>20</v>
      </c>
      <c r="D549">
        <v>65</v>
      </c>
    </row>
    <row r="550" spans="2:4" x14ac:dyDescent="0.25">
      <c r="B550" t="s">
        <v>1034</v>
      </c>
      <c r="C550" t="s">
        <v>20</v>
      </c>
      <c r="D550">
        <v>64</v>
      </c>
    </row>
    <row r="551" spans="2:4" x14ac:dyDescent="0.25">
      <c r="B551" t="s">
        <v>518</v>
      </c>
      <c r="C551" t="s">
        <v>20</v>
      </c>
      <c r="D551">
        <v>62</v>
      </c>
    </row>
    <row r="552" spans="2:4" x14ac:dyDescent="0.25">
      <c r="B552" t="s">
        <v>556</v>
      </c>
      <c r="C552" t="s">
        <v>20</v>
      </c>
      <c r="D552">
        <v>59</v>
      </c>
    </row>
    <row r="553" spans="2:4" x14ac:dyDescent="0.25">
      <c r="B553" t="s">
        <v>1820</v>
      </c>
      <c r="C553" t="s">
        <v>20</v>
      </c>
      <c r="D553">
        <v>56</v>
      </c>
    </row>
    <row r="554" spans="2:4" x14ac:dyDescent="0.25">
      <c r="B554" t="s">
        <v>1276</v>
      </c>
      <c r="C554" t="s">
        <v>20</v>
      </c>
      <c r="D554">
        <v>55</v>
      </c>
    </row>
    <row r="555" spans="2:4" x14ac:dyDescent="0.25">
      <c r="B555" t="s">
        <v>192</v>
      </c>
      <c r="C555" t="s">
        <v>20</v>
      </c>
      <c r="D555">
        <v>54</v>
      </c>
    </row>
    <row r="556" spans="2:4" x14ac:dyDescent="0.25">
      <c r="B556" t="s">
        <v>540</v>
      </c>
      <c r="C556" t="s">
        <v>20</v>
      </c>
      <c r="D556">
        <v>53</v>
      </c>
    </row>
    <row r="557" spans="2:4" x14ac:dyDescent="0.25">
      <c r="B557" t="s">
        <v>1790</v>
      </c>
      <c r="C557" t="s">
        <v>20</v>
      </c>
      <c r="D557">
        <v>53</v>
      </c>
    </row>
    <row r="558" spans="2:4" x14ac:dyDescent="0.25">
      <c r="B558" t="s">
        <v>1802</v>
      </c>
      <c r="C558" t="s">
        <v>20</v>
      </c>
      <c r="D558">
        <v>52</v>
      </c>
    </row>
    <row r="559" spans="2:4" x14ac:dyDescent="0.25">
      <c r="B559" t="s">
        <v>326</v>
      </c>
      <c r="C559" t="s">
        <v>20</v>
      </c>
      <c r="D559">
        <v>50</v>
      </c>
    </row>
    <row r="560" spans="2:4" x14ac:dyDescent="0.25">
      <c r="B560" t="s">
        <v>832</v>
      </c>
      <c r="C560" t="s">
        <v>20</v>
      </c>
      <c r="D560">
        <v>50</v>
      </c>
    </row>
    <row r="561" spans="2:4" x14ac:dyDescent="0.25">
      <c r="B561" t="s">
        <v>968</v>
      </c>
      <c r="C561" t="s">
        <v>20</v>
      </c>
      <c r="D561">
        <v>50</v>
      </c>
    </row>
    <row r="562" spans="2:4" x14ac:dyDescent="0.25">
      <c r="B562" t="s">
        <v>400</v>
      </c>
      <c r="C562" t="s">
        <v>20</v>
      </c>
      <c r="D562">
        <v>48</v>
      </c>
    </row>
    <row r="563" spans="2:4" x14ac:dyDescent="0.25">
      <c r="B563" t="s">
        <v>588</v>
      </c>
      <c r="C563" t="s">
        <v>20</v>
      </c>
      <c r="D563">
        <v>48</v>
      </c>
    </row>
    <row r="564" spans="2:4" x14ac:dyDescent="0.25">
      <c r="B564" t="s">
        <v>1725</v>
      </c>
      <c r="C564" t="s">
        <v>20</v>
      </c>
      <c r="D564">
        <v>48</v>
      </c>
    </row>
    <row r="565" spans="2:4" x14ac:dyDescent="0.25">
      <c r="B565" t="s">
        <v>466</v>
      </c>
      <c r="C565" t="s">
        <v>20</v>
      </c>
      <c r="D565">
        <v>43</v>
      </c>
    </row>
    <row r="566" spans="2:4" x14ac:dyDescent="0.25">
      <c r="B566" t="s">
        <v>1649</v>
      </c>
      <c r="C566" t="s">
        <v>20</v>
      </c>
      <c r="D566">
        <v>43</v>
      </c>
    </row>
    <row r="567" spans="2:4" x14ac:dyDescent="0.25">
      <c r="B567" t="s">
        <v>980</v>
      </c>
      <c r="C567" t="s">
        <v>20</v>
      </c>
      <c r="D567">
        <v>42</v>
      </c>
    </row>
    <row r="568" spans="2:4" x14ac:dyDescent="0.25">
      <c r="B568" t="s">
        <v>368</v>
      </c>
      <c r="C568" t="s">
        <v>20</v>
      </c>
      <c r="D568">
        <v>41</v>
      </c>
    </row>
    <row r="569" spans="2:4" x14ac:dyDescent="0.25">
      <c r="B569" t="s">
        <v>766</v>
      </c>
      <c r="C569" t="s">
        <v>20</v>
      </c>
      <c r="D569">
        <v>41</v>
      </c>
    </row>
    <row r="570" spans="2:4" x14ac:dyDescent="0.25">
      <c r="B570" t="s">
        <v>1878</v>
      </c>
      <c r="C570" t="s">
        <v>20</v>
      </c>
      <c r="D570">
        <v>40</v>
      </c>
    </row>
    <row r="571" spans="2:4" x14ac:dyDescent="0.25">
      <c r="B571" t="s">
        <v>840</v>
      </c>
      <c r="C571" t="s">
        <v>20</v>
      </c>
      <c r="D571">
        <v>34</v>
      </c>
    </row>
    <row r="572" spans="2:4" x14ac:dyDescent="0.25">
      <c r="B572" t="s">
        <v>1086</v>
      </c>
      <c r="C572" t="s">
        <v>20</v>
      </c>
      <c r="D572">
        <v>32</v>
      </c>
    </row>
    <row r="573" spans="2:4" x14ac:dyDescent="0.25">
      <c r="B573" t="s">
        <v>1977</v>
      </c>
      <c r="C573" t="s">
        <v>20</v>
      </c>
      <c r="D573">
        <v>32</v>
      </c>
    </row>
    <row r="574" spans="2:4" x14ac:dyDescent="0.25">
      <c r="B574" t="s">
        <v>239</v>
      </c>
      <c r="C574" t="s">
        <v>20</v>
      </c>
      <c r="D574">
        <v>27</v>
      </c>
    </row>
    <row r="575" spans="2:4" x14ac:dyDescent="0.25">
      <c r="B575" t="s">
        <v>1268</v>
      </c>
      <c r="C575" t="s">
        <v>20</v>
      </c>
      <c r="D575">
        <v>26</v>
      </c>
    </row>
    <row r="576" spans="2:4" x14ac:dyDescent="0.25">
      <c r="B576" t="s">
        <v>115</v>
      </c>
      <c r="C576" t="s">
        <v>20</v>
      </c>
      <c r="D576">
        <v>16</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Crowdfunding_orignal data</vt:lpstr>
      <vt:lpstr>Pivot Table 1</vt:lpstr>
      <vt:lpstr>Pivot Table 2</vt:lpstr>
      <vt:lpstr>Pivot 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Jennifer Foster</cp:lastModifiedBy>
  <dcterms:created xsi:type="dcterms:W3CDTF">2021-09-29T18:52:28Z</dcterms:created>
  <dcterms:modified xsi:type="dcterms:W3CDTF">2024-10-03T17:49:05Z</dcterms:modified>
</cp:coreProperties>
</file>