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24226"/>
  <mc:AlternateContent xmlns:mc="http://schemas.openxmlformats.org/markup-compatibility/2006">
    <mc:Choice Requires="x15">
      <x15ac:absPath xmlns:x15ac="http://schemas.microsoft.com/office/spreadsheetml/2010/11/ac" url="C:\Documentos\IMDER 2020\"/>
    </mc:Choice>
  </mc:AlternateContent>
  <xr:revisionPtr revIDLastSave="0" documentId="13_ncr:1_{C9050CA0-D15B-4ED0-8722-95A3AD188BC2}" xr6:coauthVersionLast="45" xr6:coauthVersionMax="45" xr10:uidLastSave="{00000000-0000-0000-0000-000000000000}"/>
  <bookViews>
    <workbookView xWindow="-108" yWindow="-108" windowWidth="21720" windowHeight="8832" activeTab="1" xr2:uid="{00000000-000D-0000-FFFF-FFFF00000000}"/>
  </bookViews>
  <sheets>
    <sheet name="Instructivo" sheetId="2" r:id="rId1"/>
    <sheet name="Estado SCI" sheetId="1" r:id="rId2"/>
    <sheet name="Análisis Resultados" sheetId="3" r:id="rId3"/>
    <sheet name="Conclusión" sheetId="5" r:id="rId4"/>
    <sheet name="Hoja1" sheetId="6" state="hidden" r:id="rId5"/>
  </sheets>
  <externalReferences>
    <externalReference r:id="rId6"/>
  </externalReferences>
  <definedNames>
    <definedName name="_xlnm._FilterDatabase" localSheetId="4" hidden="1">Hoja1!$A$1:$K$45</definedName>
  </definedNames>
  <calcPr calcId="181029"/>
</workbook>
</file>

<file path=xl/calcChain.xml><?xml version="1.0" encoding="utf-8"?>
<calcChain xmlns="http://schemas.openxmlformats.org/spreadsheetml/2006/main">
  <c r="J59" i="1" l="1"/>
  <c r="J58" i="1"/>
  <c r="J57" i="1"/>
  <c r="J56" i="1"/>
  <c r="J55" i="1"/>
  <c r="J54" i="1"/>
  <c r="J53" i="1"/>
  <c r="J52" i="1"/>
  <c r="J51" i="1"/>
  <c r="J5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A59" i="1" l="1"/>
  <c r="A58" i="1"/>
  <c r="A57" i="1"/>
  <c r="A56" i="1"/>
  <c r="A55" i="1"/>
  <c r="A54" i="1"/>
  <c r="A53" i="1"/>
  <c r="A52" i="1"/>
  <c r="A51" i="1"/>
  <c r="A50" i="1"/>
  <c r="A49" i="1"/>
  <c r="A48" i="1"/>
  <c r="A47" i="1"/>
  <c r="A46" i="1"/>
  <c r="A45" i="1"/>
  <c r="A44" i="1"/>
  <c r="A43" i="1"/>
  <c r="A42" i="1"/>
  <c r="A41" i="1"/>
  <c r="A40" i="1"/>
  <c r="A39" i="1"/>
  <c r="J37" i="1"/>
  <c r="L37" i="1" s="1"/>
  <c r="J36" i="1"/>
  <c r="L36" i="1" s="1"/>
  <c r="J35" i="1"/>
  <c r="L35" i="1" s="1"/>
  <c r="J34" i="1"/>
  <c r="L34" i="1" s="1"/>
  <c r="J33" i="1"/>
  <c r="L33" i="1" s="1"/>
  <c r="J32" i="1"/>
  <c r="L32" i="1" s="1"/>
  <c r="A38" i="1"/>
  <c r="A37" i="1"/>
  <c r="A36" i="1"/>
  <c r="A35" i="1"/>
  <c r="A34" i="1"/>
  <c r="A33" i="1"/>
  <c r="A32" i="1"/>
  <c r="L59" i="1"/>
  <c r="L58" i="1"/>
  <c r="L57" i="1"/>
  <c r="L56" i="1"/>
  <c r="L55" i="1"/>
  <c r="L54" i="1"/>
  <c r="L53" i="1"/>
  <c r="L52" i="1"/>
  <c r="L51" i="1"/>
  <c r="L50" i="1"/>
  <c r="J49" i="1"/>
  <c r="L49" i="1" s="1"/>
  <c r="J48" i="1"/>
  <c r="L48" i="1" s="1"/>
  <c r="J47" i="1"/>
  <c r="L47" i="1" s="1"/>
  <c r="J46" i="1"/>
  <c r="L46" i="1" s="1"/>
  <c r="J45" i="1"/>
  <c r="L45" i="1" s="1"/>
  <c r="J44" i="1"/>
  <c r="L44" i="1" s="1"/>
  <c r="J43" i="1"/>
  <c r="L43" i="1" s="1"/>
  <c r="J42" i="1"/>
  <c r="L42" i="1" s="1"/>
  <c r="J41" i="1"/>
  <c r="L41" i="1" s="1"/>
  <c r="J40" i="1"/>
  <c r="L40" i="1" s="1"/>
  <c r="J39" i="1"/>
  <c r="L39" i="1" s="1"/>
  <c r="J38" i="1"/>
  <c r="L38" i="1" s="1"/>
  <c r="J31" i="1"/>
  <c r="L31" i="1" s="1"/>
  <c r="J30" i="1"/>
  <c r="L30" i="1" s="1"/>
  <c r="J29" i="1"/>
  <c r="L29" i="1" s="1"/>
  <c r="J28" i="1"/>
  <c r="L28" i="1" s="1"/>
  <c r="J27" i="1"/>
  <c r="L27" i="1" s="1"/>
  <c r="J26" i="1"/>
  <c r="L26" i="1" s="1"/>
  <c r="J25" i="1"/>
  <c r="L25" i="1" s="1"/>
  <c r="J24" i="1"/>
  <c r="L24" i="1" s="1"/>
  <c r="J23" i="1"/>
  <c r="L23" i="1" s="1"/>
  <c r="J22" i="1"/>
  <c r="L22" i="1" s="1"/>
  <c r="J21" i="1"/>
  <c r="L21" i="1" s="1"/>
  <c r="J20" i="1"/>
  <c r="L20" i="1" s="1"/>
  <c r="J19" i="1"/>
  <c r="L19" i="1" s="1"/>
  <c r="J18" i="1"/>
  <c r="L18" i="1" s="1"/>
  <c r="J17" i="1"/>
  <c r="L17" i="1" s="1"/>
  <c r="J16" i="1"/>
  <c r="L16" i="1" s="1"/>
  <c r="A31" i="1" l="1"/>
  <c r="A30" i="1"/>
  <c r="A29" i="1"/>
  <c r="A28" i="1"/>
  <c r="A27" i="1"/>
  <c r="A26" i="1"/>
  <c r="A25" i="1"/>
  <c r="A24" i="1"/>
  <c r="A23" i="1"/>
  <c r="A22" i="1"/>
  <c r="A21" i="1"/>
  <c r="A20" i="1"/>
  <c r="A19" i="1"/>
  <c r="A18" i="1"/>
  <c r="A17" i="1"/>
  <c r="A16" i="1"/>
  <c r="I3" i="6" l="1"/>
  <c r="J3" i="6" s="1"/>
  <c r="I11" i="6"/>
  <c r="J11" i="6" s="1"/>
  <c r="I19" i="6"/>
  <c r="J19" i="6" s="1"/>
  <c r="I25" i="6"/>
  <c r="J25" i="6" s="1"/>
  <c r="I33" i="6"/>
  <c r="J33" i="6" s="1"/>
  <c r="I41" i="6"/>
  <c r="J41" i="6" s="1"/>
  <c r="B29" i="6"/>
  <c r="I4" i="6"/>
  <c r="J4" i="6" s="1"/>
  <c r="I12" i="6"/>
  <c r="J12" i="6" s="1"/>
  <c r="I20" i="6"/>
  <c r="J20" i="6" s="1"/>
  <c r="I26" i="6"/>
  <c r="J26" i="6" s="1"/>
  <c r="I34" i="6"/>
  <c r="J34" i="6" s="1"/>
  <c r="I42" i="6"/>
  <c r="J42" i="6" s="1"/>
  <c r="B36" i="6"/>
  <c r="I5" i="6"/>
  <c r="J5" i="6" s="1"/>
  <c r="I13" i="6"/>
  <c r="J13" i="6" s="1"/>
  <c r="I27" i="6"/>
  <c r="J27" i="6" s="1"/>
  <c r="I35" i="6"/>
  <c r="J35" i="6" s="1"/>
  <c r="I43" i="6"/>
  <c r="J43" i="6" s="1"/>
  <c r="B2" i="6"/>
  <c r="I6" i="6"/>
  <c r="J6" i="6" s="1"/>
  <c r="I14" i="6"/>
  <c r="J14" i="6" s="1"/>
  <c r="I21" i="6"/>
  <c r="J21" i="6" s="1"/>
  <c r="I28" i="6"/>
  <c r="J28" i="6" s="1"/>
  <c r="I36" i="6"/>
  <c r="J36" i="6" s="1"/>
  <c r="I44" i="6"/>
  <c r="J44" i="6" s="1"/>
  <c r="I7" i="6"/>
  <c r="J7" i="6" s="1"/>
  <c r="I15" i="6"/>
  <c r="J15" i="6" s="1"/>
  <c r="I22" i="6"/>
  <c r="J22" i="6" s="1"/>
  <c r="I29" i="6"/>
  <c r="J29" i="6" s="1"/>
  <c r="I37" i="6"/>
  <c r="J37" i="6" s="1"/>
  <c r="I45" i="6"/>
  <c r="J45" i="6" s="1"/>
  <c r="I8" i="6"/>
  <c r="J8" i="6" s="1"/>
  <c r="I16" i="6"/>
  <c r="J16" i="6" s="1"/>
  <c r="I23" i="6"/>
  <c r="J23" i="6" s="1"/>
  <c r="I30" i="6"/>
  <c r="J30" i="6" s="1"/>
  <c r="I38" i="6"/>
  <c r="J38" i="6" s="1"/>
  <c r="I2" i="6"/>
  <c r="J2" i="6" s="1"/>
  <c r="I9" i="6"/>
  <c r="J9" i="6" s="1"/>
  <c r="I17" i="6"/>
  <c r="J17" i="6" s="1"/>
  <c r="I31" i="6"/>
  <c r="J31" i="6" s="1"/>
  <c r="I39" i="6"/>
  <c r="J39" i="6" s="1"/>
  <c r="B14" i="6"/>
  <c r="I10" i="6"/>
  <c r="J10" i="6" s="1"/>
  <c r="I18" i="6"/>
  <c r="J18" i="6" s="1"/>
  <c r="I24" i="6"/>
  <c r="J24" i="6" s="1"/>
  <c r="I32" i="6"/>
  <c r="J32" i="6" s="1"/>
  <c r="I40" i="6"/>
  <c r="J40" i="6" s="1"/>
  <c r="B24" i="6"/>
  <c r="G41" i="6"/>
  <c r="G40" i="6"/>
  <c r="G32" i="6"/>
  <c r="G24" i="6"/>
  <c r="G18" i="6"/>
  <c r="G10" i="6"/>
  <c r="G2" i="6"/>
  <c r="F10" i="6"/>
  <c r="F18" i="6"/>
  <c r="F24" i="6"/>
  <c r="F32" i="6"/>
  <c r="F40" i="6"/>
  <c r="G29" i="6"/>
  <c r="G7" i="6"/>
  <c r="F27" i="6"/>
  <c r="G28" i="6"/>
  <c r="G14" i="6"/>
  <c r="F14" i="6"/>
  <c r="F36" i="6"/>
  <c r="G27" i="6"/>
  <c r="G5" i="6"/>
  <c r="F22" i="6"/>
  <c r="F45" i="6"/>
  <c r="G34" i="6"/>
  <c r="G20" i="6"/>
  <c r="F8" i="6"/>
  <c r="F30" i="6"/>
  <c r="G33" i="6"/>
  <c r="G11" i="6"/>
  <c r="F17" i="6"/>
  <c r="G39" i="6"/>
  <c r="G31" i="6"/>
  <c r="G17" i="6"/>
  <c r="G9" i="6"/>
  <c r="F3" i="6"/>
  <c r="F11" i="6"/>
  <c r="F19" i="6"/>
  <c r="F25" i="6"/>
  <c r="F33" i="6"/>
  <c r="F41" i="6"/>
  <c r="G37" i="6"/>
  <c r="G15" i="6"/>
  <c r="F5" i="6"/>
  <c r="F43" i="6"/>
  <c r="G44" i="6"/>
  <c r="G21" i="6"/>
  <c r="F6" i="6"/>
  <c r="F28" i="6"/>
  <c r="G35" i="6"/>
  <c r="G13" i="6"/>
  <c r="F7" i="6"/>
  <c r="F29" i="6"/>
  <c r="G26" i="6"/>
  <c r="G4" i="6"/>
  <c r="F23" i="6"/>
  <c r="F2" i="6"/>
  <c r="G19" i="6"/>
  <c r="F9" i="6"/>
  <c r="F39" i="6"/>
  <c r="G38" i="6"/>
  <c r="G30" i="6"/>
  <c r="G23" i="6"/>
  <c r="G16" i="6"/>
  <c r="G8" i="6"/>
  <c r="F4" i="6"/>
  <c r="F12" i="6"/>
  <c r="F20" i="6"/>
  <c r="F26" i="6"/>
  <c r="F34" i="6"/>
  <c r="F42" i="6"/>
  <c r="G45" i="6"/>
  <c r="G22" i="6"/>
  <c r="F13" i="6"/>
  <c r="F35" i="6"/>
  <c r="G36" i="6"/>
  <c r="G6" i="6"/>
  <c r="F21" i="6"/>
  <c r="F44" i="6"/>
  <c r="G43" i="6"/>
  <c r="F15" i="6"/>
  <c r="F37" i="6"/>
  <c r="G42" i="6"/>
  <c r="G12" i="6"/>
  <c r="F16" i="6"/>
  <c r="F38" i="6"/>
  <c r="G25" i="6"/>
  <c r="G3" i="6"/>
  <c r="F31" i="6"/>
  <c r="K24" i="6" l="1"/>
  <c r="G30" i="5" s="1"/>
  <c r="K29" i="6"/>
  <c r="K36" i="6"/>
  <c r="K14" i="6"/>
  <c r="K9" i="6"/>
  <c r="K6" i="6"/>
  <c r="K35" i="6"/>
  <c r="K19" i="6"/>
  <c r="K23" i="6"/>
  <c r="K40" i="6"/>
  <c r="K10" i="6"/>
  <c r="K7" i="6"/>
  <c r="K44" i="6"/>
  <c r="K20" i="6"/>
  <c r="K38" i="6"/>
  <c r="K3" i="6"/>
  <c r="K8" i="6"/>
  <c r="K30" i="6"/>
  <c r="K37" i="6"/>
  <c r="K25" i="6"/>
  <c r="K45" i="6"/>
  <c r="K11" i="6"/>
  <c r="K4" i="6"/>
  <c r="K12" i="6"/>
  <c r="K32" i="6"/>
  <c r="K41" i="6"/>
  <c r="K17" i="6"/>
  <c r="K15" i="6"/>
  <c r="K28" i="6"/>
  <c r="K39" i="6"/>
  <c r="K27" i="6"/>
  <c r="K5" i="6"/>
  <c r="K33" i="6"/>
  <c r="K42" i="6"/>
  <c r="K22" i="6"/>
  <c r="K2" i="6"/>
  <c r="K31" i="6"/>
  <c r="K13" i="6"/>
  <c r="K34" i="6"/>
  <c r="K43" i="6"/>
  <c r="K18" i="6"/>
  <c r="K16" i="6"/>
  <c r="K26" i="6"/>
  <c r="K21" i="6"/>
  <c r="H37" i="6"/>
  <c r="H17" i="6"/>
  <c r="H30" i="6"/>
  <c r="H2" i="6"/>
  <c r="H10" i="6"/>
  <c r="H44" i="6"/>
  <c r="H6" i="6"/>
  <c r="H7" i="6"/>
  <c r="H42" i="6"/>
  <c r="H36" i="6"/>
  <c r="H11" i="6"/>
  <c r="H5" i="6"/>
  <c r="H29" i="6"/>
  <c r="H18" i="6"/>
  <c r="H12" i="6"/>
  <c r="H38" i="6"/>
  <c r="H13" i="6"/>
  <c r="H33" i="6"/>
  <c r="H27" i="6"/>
  <c r="H24" i="6"/>
  <c r="H3" i="6"/>
  <c r="H8" i="6"/>
  <c r="H26" i="6"/>
  <c r="H39" i="6"/>
  <c r="H19" i="6"/>
  <c r="H35" i="6"/>
  <c r="H15" i="6"/>
  <c r="H9" i="6"/>
  <c r="H32" i="6"/>
  <c r="H40" i="6"/>
  <c r="H22" i="6"/>
  <c r="H25" i="6"/>
  <c r="H45" i="6"/>
  <c r="H20" i="6"/>
  <c r="H14" i="6"/>
  <c r="H43" i="6"/>
  <c r="H16" i="6"/>
  <c r="H23" i="6"/>
  <c r="H4" i="6"/>
  <c r="H21" i="6"/>
  <c r="H31" i="6"/>
  <c r="H34" i="6"/>
  <c r="H28" i="6"/>
  <c r="H41" i="6"/>
  <c r="E30" i="5" l="1"/>
  <c r="E26" i="5"/>
  <c r="G26" i="5"/>
  <c r="E28" i="5"/>
  <c r="G28" i="5"/>
  <c r="G34" i="5"/>
  <c r="E34" i="5"/>
  <c r="E32" i="5"/>
  <c r="G32" i="5"/>
  <c r="F56" i="3"/>
  <c r="F48" i="3"/>
  <c r="F40" i="3"/>
  <c r="F32" i="3"/>
  <c r="F24" i="3"/>
  <c r="F55" i="3"/>
  <c r="F47" i="3"/>
  <c r="F39" i="3"/>
  <c r="F31" i="3"/>
  <c r="F23" i="3"/>
  <c r="F34" i="3"/>
  <c r="F62" i="3"/>
  <c r="F54" i="3"/>
  <c r="F46" i="3"/>
  <c r="F38" i="3"/>
  <c r="F30" i="3"/>
  <c r="F22" i="3"/>
  <c r="F53" i="3"/>
  <c r="F45" i="3"/>
  <c r="F37" i="3"/>
  <c r="F29" i="3"/>
  <c r="F57" i="3"/>
  <c r="F33" i="3"/>
  <c r="F61" i="3"/>
  <c r="F21" i="3"/>
  <c r="F58" i="3"/>
  <c r="F50" i="3"/>
  <c r="F26" i="3"/>
  <c r="F60" i="3"/>
  <c r="F52" i="3"/>
  <c r="F44" i="3"/>
  <c r="F36" i="3"/>
  <c r="F28" i="3"/>
  <c r="F20" i="3"/>
  <c r="F25" i="3"/>
  <c r="F59" i="3"/>
  <c r="F51" i="3"/>
  <c r="F43" i="3"/>
  <c r="F35" i="3"/>
  <c r="F27" i="3"/>
  <c r="F19" i="3"/>
  <c r="F42" i="3"/>
  <c r="F49" i="3"/>
  <c r="F41" i="3"/>
  <c r="E56" i="3"/>
  <c r="E40" i="3"/>
  <c r="E55" i="3"/>
  <c r="E47" i="3"/>
  <c r="E39" i="3"/>
  <c r="E31" i="3"/>
  <c r="E23" i="3"/>
  <c r="E51" i="3"/>
  <c r="E27" i="3"/>
  <c r="E58" i="3"/>
  <c r="E26" i="3"/>
  <c r="E57" i="3"/>
  <c r="E25" i="3"/>
  <c r="E24" i="3"/>
  <c r="E62" i="3"/>
  <c r="E54" i="3"/>
  <c r="E46" i="3"/>
  <c r="E38" i="3"/>
  <c r="E30" i="3"/>
  <c r="E22" i="3"/>
  <c r="E60" i="3"/>
  <c r="E20" i="3"/>
  <c r="E43" i="3"/>
  <c r="E50" i="3"/>
  <c r="E34" i="3"/>
  <c r="E49" i="3"/>
  <c r="E48" i="3"/>
  <c r="E61" i="3"/>
  <c r="E53" i="3"/>
  <c r="E45" i="3"/>
  <c r="E37" i="3"/>
  <c r="E29" i="3"/>
  <c r="E21" i="3"/>
  <c r="E52" i="3"/>
  <c r="E44" i="3"/>
  <c r="E36" i="3"/>
  <c r="E28" i="3"/>
  <c r="E59" i="3"/>
  <c r="E35" i="3"/>
  <c r="E19" i="3"/>
  <c r="E42" i="3"/>
  <c r="E41" i="3"/>
  <c r="E33" i="3"/>
  <c r="E32" i="3"/>
  <c r="I61" i="3" l="1"/>
  <c r="G61" i="3"/>
  <c r="I59" i="3"/>
  <c r="G59" i="3"/>
  <c r="I45" i="3"/>
  <c r="G45" i="3"/>
  <c r="G20" i="3"/>
  <c r="I20" i="3"/>
  <c r="G24" i="3"/>
  <c r="I24" i="3"/>
  <c r="I31" i="3"/>
  <c r="G31" i="3"/>
  <c r="I32" i="3"/>
  <c r="G32" i="3"/>
  <c r="G28" i="3"/>
  <c r="I28" i="3"/>
  <c r="I53" i="3"/>
  <c r="G53" i="3"/>
  <c r="I60" i="3"/>
  <c r="G60" i="3"/>
  <c r="G25" i="3"/>
  <c r="I25" i="3"/>
  <c r="I39" i="3"/>
  <c r="G39" i="3"/>
  <c r="G22" i="3"/>
  <c r="I22" i="3"/>
  <c r="I57" i="3"/>
  <c r="G57" i="3"/>
  <c r="I47" i="3"/>
  <c r="G47" i="3"/>
  <c r="I33" i="3"/>
  <c r="G33" i="3"/>
  <c r="I44" i="3"/>
  <c r="G44" i="3"/>
  <c r="I48" i="3"/>
  <c r="G48" i="3"/>
  <c r="I30" i="3"/>
  <c r="G30" i="3"/>
  <c r="G26" i="3"/>
  <c r="I26" i="3"/>
  <c r="I55" i="3"/>
  <c r="G55" i="3"/>
  <c r="I41" i="3"/>
  <c r="G41" i="3"/>
  <c r="I52" i="3"/>
  <c r="G52" i="3"/>
  <c r="I49" i="3"/>
  <c r="G49" i="3"/>
  <c r="I38" i="3"/>
  <c r="G38" i="3"/>
  <c r="I58" i="3"/>
  <c r="G58" i="3"/>
  <c r="I42" i="3"/>
  <c r="G42" i="3"/>
  <c r="G21" i="3"/>
  <c r="I21" i="3"/>
  <c r="I34" i="3"/>
  <c r="G34" i="3"/>
  <c r="I46" i="3"/>
  <c r="G46" i="3"/>
  <c r="I27" i="3"/>
  <c r="G27" i="3"/>
  <c r="I40" i="3"/>
  <c r="G40" i="3"/>
  <c r="I36" i="3"/>
  <c r="G36" i="3"/>
  <c r="I19" i="3"/>
  <c r="G19" i="3"/>
  <c r="G29" i="3"/>
  <c r="I29" i="3"/>
  <c r="I50" i="3"/>
  <c r="G50" i="3"/>
  <c r="I54" i="3"/>
  <c r="G54" i="3"/>
  <c r="I51" i="3"/>
  <c r="G51" i="3"/>
  <c r="I56" i="3"/>
  <c r="G56" i="3"/>
  <c r="I35" i="3"/>
  <c r="G35" i="3"/>
  <c r="I37" i="3"/>
  <c r="G37" i="3"/>
  <c r="I43" i="3"/>
  <c r="G43" i="3"/>
  <c r="I62" i="3"/>
  <c r="G62" i="3"/>
  <c r="G23" i="3"/>
  <c r="I23" i="3"/>
  <c r="J41" i="3" l="1"/>
  <c r="J53" i="3"/>
  <c r="J46" i="3"/>
  <c r="J31" i="3"/>
  <c r="J19" i="3"/>
  <c r="M8" i="5" l="1"/>
</calcChain>
</file>

<file path=xl/sharedStrings.xml><?xml version="1.0" encoding="utf-8"?>
<sst xmlns="http://schemas.openxmlformats.org/spreadsheetml/2006/main" count="514" uniqueCount="227">
  <si>
    <t>EVALUACIÓN INDEPENDIENTE SISTEMA DE CONTROL INTERNO
Entidades Pequeñas
(instrucciones para su diligenciamiento)</t>
  </si>
  <si>
    <t>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Esta estructura requiere de un análisis articulado frente al desarrollo de las políticas de gestión y desempeño contenidas en el modelo y su efectividad en relación con la estructura de control, este útlimo, aspecto esecial para garantizar el buen manejo de los recursos, que las metas y objetivos se cumplan y se mejore la prestación del servicio a los usuarios, ejes fundamentales para la generación de valor público.
Teniendo en cuenta lo anterior y dada la necesidad de dar cumplimiento a la dispuesto en el articulo 156 del Decreto 2106 de 2019, el presente formatobusca que las entidades cuenten con una herramienta para evaluar sus Sistemas de Control Interno de manera integral y permitirle al Jefe de Control Interno o quien haga sus veces llevar a cabo el informe de evaluación independiente sobre el mismo para su publicación cada seis (6) meses, en el sitio web de la entidad. La estructura propuesta es diferencial para aquellas entidades de municipios de 6a categoría (Personerías y Concejos Municipales) que son entidades con 1 y hasta 5 servidores en sus plantas de personal. Estas entidades deben tener en cuenta que de acuerdo con el parágrafo del artículo ARTÍCULO 2.2.22.2.1. del Decreto 1499 de 2017, las políticas de gestión y desempeño contenidas en el Modelo Integrado de Planeación y Gestión MIPG, deben ser aplicadas acorde con las normas que las regulan, por lo que deben analizar dichas políticas e implementarlas en armonía con el MECI.</t>
  </si>
  <si>
    <t>Orientaciones Generales</t>
  </si>
  <si>
    <r>
      <t xml:space="preserve">El archivo contiene las siguientes hojas:
 -  1 </t>
    </r>
    <r>
      <rPr>
        <b/>
        <sz val="11"/>
        <rFont val="Arial Narrow"/>
        <family val="2"/>
      </rPr>
      <t xml:space="preserve">Pestaña que desarrolla la estructura para evaluar el estado del Sistema de Control Interno: </t>
    </r>
    <r>
      <rPr>
        <sz val="11"/>
        <rFont val="Arial Narrow"/>
        <family val="2"/>
      </rPr>
      <t xml:space="preserve">Se desagrega en </t>
    </r>
    <r>
      <rPr>
        <sz val="10"/>
        <rFont val="Arial Narrow"/>
        <family val="2"/>
      </rPr>
      <t>"Ambiente de Control", "Evaluación de riesgos", "Actividades de control", "Información y Comunicación", y " Actividades de Monitoreo", componentes actuales del Modelo Estándar de Control Interno MECI. La estructura es la siguiente para el diligenciamiento:</t>
    </r>
  </si>
  <si>
    <t>Columna</t>
  </si>
  <si>
    <t>Descripción</t>
  </si>
  <si>
    <t>Componente del MECI asociado</t>
  </si>
  <si>
    <t>Esta columna define los componentes del MECI.</t>
  </si>
  <si>
    <t>Lineamiento General por Componente</t>
  </si>
  <si>
    <t>En esta columna establece el lineamientos general para cada uno de los componentes del MECI</t>
  </si>
  <si>
    <t>Requerimiento Asociado al Componente</t>
  </si>
  <si>
    <t>Se muestran una serie de preguntas con 3 opciones de respuesta así:
1. SI
2.NO
3. EN PROCESO</t>
  </si>
  <si>
    <t>Evidencia de Seguimiento al Control</t>
  </si>
  <si>
    <t>Establezca actividades adelantadas de aplicación del documento o elemento antes identificado (esto cuando se responde SI o bien EN PROCESO)</t>
  </si>
  <si>
    <r>
      <t xml:space="preserve"> -</t>
    </r>
    <r>
      <rPr>
        <sz val="11"/>
        <rFont val="Arial Narrow"/>
        <family val="2"/>
      </rPr>
      <t xml:space="preserve"> </t>
    </r>
    <r>
      <rPr>
        <b/>
        <sz val="11"/>
        <rFont val="Arial Narrow"/>
        <family val="2"/>
      </rPr>
      <t>Análisis de Resultados:</t>
    </r>
    <r>
      <rPr>
        <sz val="10"/>
        <rFont val="Arial Narrow"/>
        <family val="2"/>
      </rPr>
      <t xml:space="preserve"> Esta hoja permite consolidar los resultados para cada componente evaluado.</t>
    </r>
  </si>
  <si>
    <t xml:space="preserve">Clasificación </t>
  </si>
  <si>
    <t>Observaciones del Control</t>
  </si>
  <si>
    <t>Mantenimiento del Control</t>
  </si>
  <si>
    <t>Existe requerimiento pero se requiere actividades  dirigidas a su mantenimiento dentro del marco de las lineas de defensa.</t>
  </si>
  <si>
    <t>Oportunidad de Mejora</t>
  </si>
  <si>
    <t>Se encuentra en proceso, pero requiere continuar con acciones dirigidas a contar con dicho aspecto de control</t>
  </si>
  <si>
    <t xml:space="preserve">Deficiencia del Control 
</t>
  </si>
  <si>
    <t>No se encuentra el aspecto  por lo tanto la entidad debera generar acciones dirigidas a que se cumpla con el requerimiento .</t>
  </si>
  <si>
    <r>
      <t xml:space="preserve"> -</t>
    </r>
    <r>
      <rPr>
        <sz val="11"/>
        <rFont val="Arial Narrow"/>
        <family val="2"/>
      </rPr>
      <t xml:space="preserve"> </t>
    </r>
    <r>
      <rPr>
        <b/>
        <sz val="11"/>
        <rFont val="Arial Narrow"/>
        <family val="2"/>
      </rPr>
      <t>Conclusiones:</t>
    </r>
    <r>
      <rPr>
        <sz val="10"/>
        <rFont val="Arial Narrow"/>
        <family val="2"/>
      </rPr>
      <t xml:space="preserve"> Esta hoja permite establecer el estado del Sistema de Control Interno evaluado, información a partir de la cual se definen las acciones de mejora correspondientes. Esta hoja será el informe para publicación en página web, o bien para ubicar en un lugar visible en la sede de la entidad (esto para aquellas que no cuentan con conectividad o página web en operación).</t>
    </r>
  </si>
  <si>
    <t>MEDICION ESTADO DEL SISTEMA DE CONTROL INTERNO EN LA ENTIDAD</t>
  </si>
  <si>
    <t xml:space="preserve">No. </t>
  </si>
  <si>
    <t>Literal</t>
  </si>
  <si>
    <t>Requerimiento asociado al componente</t>
  </si>
  <si>
    <t>Seguimiento al control (Si, No, En proceso)</t>
  </si>
  <si>
    <t>Evidencia de seguimiento al control
(Establezca actividades adelantadas de aplicación del documento o elemento antes identificado, esto cuando se responde SI o bien EN PROCESO</t>
  </si>
  <si>
    <t>Evaluación</t>
  </si>
  <si>
    <t>1</t>
  </si>
  <si>
    <t>AMBIENTE DE CONTROL</t>
  </si>
  <si>
    <t>El ambiente de control institucional está integrado por todas esas condiciones mínimas que debe garantizar cualquier entidad pública para el ejercicio del control interno. Para el caso de su entidad indique si se cuenta con:</t>
  </si>
  <si>
    <t>a</t>
  </si>
  <si>
    <t>Documento interno o adopción del MECI actualizado</t>
  </si>
  <si>
    <t>No</t>
  </si>
  <si>
    <t>b</t>
  </si>
  <si>
    <t>Un documento tal como un código de ética, integridad u otro que formalice los estándares de conducta, los principios institucionales o los valores del servicio público</t>
  </si>
  <si>
    <t>Si</t>
  </si>
  <si>
    <t>c</t>
  </si>
  <si>
    <t>Planes, programas y proyectos de acuerdo con las normas que rigen y atendiendo con su propósito fundamental institucional (misión)</t>
  </si>
  <si>
    <t>d</t>
  </si>
  <si>
    <t>Una estructura organizacional formalizada (organigrama)</t>
  </si>
  <si>
    <t>e</t>
  </si>
  <si>
    <t>Un manual de funciones que describa los empleos de la entidad</t>
  </si>
  <si>
    <t>f</t>
  </si>
  <si>
    <t>La documentación de sus procesos y procedimientos o bien una lista de actividades principales que permitan conocer el estado de su gestión</t>
  </si>
  <si>
    <t>g</t>
  </si>
  <si>
    <t>Vinculación de los servidores públicos de acuerdo con el marco normativo que les rige (carrera administrativa, libre nombramiento y remoción, entre otros)</t>
  </si>
  <si>
    <t>h</t>
  </si>
  <si>
    <t>Procesos de inducción, capacitación y bienestar social para sus servidores públicos, de manera directa o en asociación con otras entidades municipales</t>
  </si>
  <si>
    <t>i</t>
  </si>
  <si>
    <t>Evaluación a los servidores públicos de acuerdo con el marco normativo que le rige</t>
  </si>
  <si>
    <t>j</t>
  </si>
  <si>
    <t>Procesos de desvinculación de servidores de acuerdo con lo previsto en la Constitución Política y las leyes</t>
  </si>
  <si>
    <t>k</t>
  </si>
  <si>
    <t>Mecanismos de rendición de cuentas a la ciudadanía</t>
  </si>
  <si>
    <t>l</t>
  </si>
  <si>
    <t>Presentación oportuna de sus informes de gestión a las autoridades competentes</t>
  </si>
  <si>
    <t>2</t>
  </si>
  <si>
    <t>EVALUACION DEL RIESGO</t>
  </si>
  <si>
    <t>Toda entidad debe identificar, evaluar y gestionar eventos potenciales, tanto internos como externos, que puedan afectar el logro de los objetivos institucionales. Para el caso de su entidad indique si se cuenta con:</t>
  </si>
  <si>
    <t>Identificación de cambios en su entorno que pueden generar consecuencias negativas en su gestión</t>
  </si>
  <si>
    <t>Identificación de aquellos problemas o aspectos que pueden afectar el cumplimiento de los planes de la entidad y en general su gestión institucional (riesgos)</t>
  </si>
  <si>
    <t>Identificación  de los riesgos relacionados con posibles actos de corrupción en el ejercicio de sus funciones</t>
  </si>
  <si>
    <t>Si su capacidad e infraestructura lo permite, identificación de riesgos asociados a las tecnologías de la información y las comunicaciones</t>
  </si>
  <si>
    <t>3</t>
  </si>
  <si>
    <t>Los líderes de los programas, proyectos, o procesos de la entidad  junto con sus equipos de trabajo:</t>
  </si>
  <si>
    <t>Hacen seguimiento a los problemas (riesgos)  que pueden afectar el cumplimiento de sus procesos, programas o proyectos a cargo</t>
  </si>
  <si>
    <t>Informan de manera periódica a quien corresponda sobre el desempeño de las actividades de gestión de riesgos</t>
  </si>
  <si>
    <t>Identifican deficiencias en las maneras de  controlar los riesgos o problemas en sus procesos, programas o proyectos, y propone los ajustes necesarios</t>
  </si>
  <si>
    <t>4</t>
  </si>
  <si>
    <t>Para el manejo de los problemas que afectan el cumplimiento de las metas u objetivos institucionales (riesgos), el jefe de control interno o quien haga sus veces, ha podido evidenciar si en la entidad:</t>
  </si>
  <si>
    <t>Se definen espacios de reunión para conocerlos y proponer acciones para su solución</t>
  </si>
  <si>
    <t>Cada líder del equipo autónomamente toma las acciones para solucionarlos.</t>
  </si>
  <si>
    <t>En proceso</t>
  </si>
  <si>
    <t>Solamente hasta que un organismo de control actúa se definen acciones de mejora.</t>
  </si>
  <si>
    <t>5</t>
  </si>
  <si>
    <t>ACTIVIDADES DE CONTROL</t>
  </si>
  <si>
    <t>Una vez identificados los problemas que afectan el cumplimiento de los planes de la entidad o su gestión institucional, la entidad debe diseñar los controles o mecanismos para darles tratamiento. Para el caso de su entidad indique si se cuenta con:</t>
  </si>
  <si>
    <t>La definición de acciones o actividades para para dar tratamiento a los problemas identificados (mitigación de riesgos), incluyendo aquellos asociados a posibles actos de corrupción</t>
  </si>
  <si>
    <t>Mecanismos de verificación de si se están o no mitigando los riesgos, o en su defecto, elaboración de planes de contingencia para subsanar sus consecuencias</t>
  </si>
  <si>
    <t>Planes, acciones o estrategias que permitan subsanar las consecuencias de la materialización de los riesgos, cuando se presentan</t>
  </si>
  <si>
    <t>Un documento que consolide  los riesgos  y el tratamiento que se les da, incluyendo aquellos que conllevan posibles actos de corrupción y si la capacidad e infraestructura lo permite, los asociados con las tecnologías de la información y las comunicaciones</t>
  </si>
  <si>
    <t>Un plan anticorrupción y de servicio al ciudadano con los temas que le aplican, publicado en algún medio para conocimiento de la ciudadanía</t>
  </si>
  <si>
    <t>6</t>
  </si>
  <si>
    <t>INFORMACION Y COMUNICACIÓN</t>
  </si>
  <si>
    <t>Las entidades deben procurar, de acuerdo con sus propias capacidades internas, que la información y la comunicación que requiere para su gestión y  control interno fluya de manera clara.  Acorde con lo anterior, indique si se cuenta con:</t>
  </si>
  <si>
    <t>Responsables de la información institucional</t>
  </si>
  <si>
    <t>Canales de comunicación con los ciudadanos</t>
  </si>
  <si>
    <t>Canales de comunicación o mecanismos de reporte de información a otros organismos gubernamentales o de control</t>
  </si>
  <si>
    <t xml:space="preserve">Lineamientos para dar tratamiento a la información de carácter reservado </t>
  </si>
  <si>
    <t>Identificación de información que produce en el marco de su gestión (Para los ciudadanos, organismos de control, organismos gubernamentales, entre otros)</t>
  </si>
  <si>
    <t>Identificación de información necesaria para la operación de la entidad (normograma, presupuesto, talento humano, infraestructura física y tecnológica)</t>
  </si>
  <si>
    <t>Si su capacidad e infraestructura lo permite, tecnologías de la información y las comunicaciones que soporten estos procesos</t>
  </si>
  <si>
    <t>7</t>
  </si>
  <si>
    <t>ACTIVIDADES DE MONITOREO</t>
  </si>
  <si>
    <t>Las entidades deben valorar: la eficiencia y eficacia de su gestión y la efectividad del control interno de la entidad pública con el propósito de detectar desviaciones y generar recomendaciones para la mejora. Para el caso de su entidad indique si se cuenta con:</t>
  </si>
  <si>
    <t>Mecanismos de evaluación de la gestión (cronogramas, indicadores, listas de chequeo u otros)</t>
  </si>
  <si>
    <t>Algún mecanismo para monitorear o supervisar el sistema de control interno institucional, ya sea por parte del representante legal, o del área de control interno (si la entidad cuenta con ella), o bien a través del Comité departamental o municipal de Auditoría.</t>
  </si>
  <si>
    <t>Medidas correctivas en caso de detectarse deficiencias en los ejercicios de evaluación, seguimiento o auditoría</t>
  </si>
  <si>
    <t>Seguimiento a los planes de mejoramiento suscritos con instancias de control internas o externas</t>
  </si>
  <si>
    <t>8</t>
  </si>
  <si>
    <t>¿La entidad ha solicitado hacer parte del Comité Municipal de Auditoría, a efectos de contar con un escenario para compartir buenas prácticas en materia de control interno, así como analizar la viabilidad de contar como mínimo con un proceso auditor en la vigencia?</t>
  </si>
  <si>
    <t>La entidad participa en el  Comité Municipal de Auditoría?</t>
  </si>
  <si>
    <t>9</t>
  </si>
  <si>
    <t>El jefe de control interno o quien haga sus veces, ha podido evidenciar si en la entidad el manejo que se ha hecho a los problemas que afectan el cumplimiento de sus metas y objetivos (riesgos) le ha permitido:</t>
  </si>
  <si>
    <t>Evitar que los problemas (riesgos) obstaculicen el cumplimiento de los objetivos.</t>
  </si>
  <si>
    <t>Controlar los puntos críticos en los procesos.</t>
  </si>
  <si>
    <t>Diseñar acciones adecuadas para controlar los problemas que afectan el cumplimiento de las metas y objetivos institucionales (riesgos).</t>
  </si>
  <si>
    <t>Ejecutar las acciones de acuerdo a como se diseñaron previamente.</t>
  </si>
  <si>
    <t>No se gestionan los problemas que afectan el cumplimiento de las funciones y objetivos institucionales(riesgos).</t>
  </si>
  <si>
    <t>ANÁLISIS DE RESULTADOS PARA LA TOMA DE DECISIONES</t>
  </si>
  <si>
    <t>Se encuentra en proceso, pero requiere continuar con acciones dirigidas a contar con dicho aspecto de control.</t>
  </si>
  <si>
    <t>Se encuentra presente  y funcionando, pero requiere mejoras frente a su diseño, ya que  opera de manera efectiva</t>
  </si>
  <si>
    <t>No se encuentra el aspecto  por lo tanto la entidad debera generar acciones dirigidas a que se cumpla con el requerimiento.</t>
  </si>
  <si>
    <t>RESULTADOS</t>
  </si>
  <si>
    <t>FUENTE DEL ANALISIS</t>
  </si>
  <si>
    <t xml:space="preserve">Seguimiento al control </t>
  </si>
  <si>
    <t>OBSERVACIONES DEL CONTROL</t>
  </si>
  <si>
    <t>NIVEL DE CUMPLIMIENTO-ASPECTOS PARTICULARES POR COMPONENTE</t>
  </si>
  <si>
    <t>NIVEL DE CUMPLIMIENTO COMPONENTE</t>
  </si>
  <si>
    <t>componente</t>
  </si>
  <si>
    <t>Nombre de la Entidad:</t>
  </si>
  <si>
    <t>Periodo Evaluado:</t>
  </si>
  <si>
    <t>Estado del sistema de Control Interno de la entidad</t>
  </si>
  <si>
    <t>Conclusión general sobre la evaluación del Sistema de Control Interno</t>
  </si>
  <si>
    <t>¿Están todos los componentes operando juntos y de manera integrada? (Si / en proceso / No) (Justifique su respuesta):</t>
  </si>
  <si>
    <t>¿Es efectivo el sistema de control interno para los objetivos evaluados? (Si/No) (Justifique su respuesta):</t>
  </si>
  <si>
    <t>La entidad cuenta dentro de su Sistema de Control Interno, con una institucionalidad (Líneas de defensa)  que le permita la toma de decisiones frente al control (Si/No) (Justifique su respuesta):</t>
  </si>
  <si>
    <t>Componente</t>
  </si>
  <si>
    <t>¿se esta cumpliendo los requerimientos ?</t>
  </si>
  <si>
    <t>Nivel de Cumplimiento componente</t>
  </si>
  <si>
    <r>
      <rPr>
        <b/>
        <u/>
        <sz val="20"/>
        <color theme="0"/>
        <rFont val="Arial"/>
        <family val="2"/>
      </rPr>
      <t xml:space="preserve"> Estado actual:</t>
    </r>
    <r>
      <rPr>
        <b/>
        <sz val="20"/>
        <color theme="0"/>
        <rFont val="Arial"/>
        <family val="2"/>
      </rPr>
      <t xml:space="preserve"> Explicacion de las Debilidades y/o Fortalezas encontradas en cada componente</t>
    </r>
  </si>
  <si>
    <t>EVALUCION DEL RIESGO</t>
  </si>
  <si>
    <t>ACTIVIDADES DEL CONTROL</t>
  </si>
  <si>
    <t xml:space="preserve">ACTIVIDADES DE MONITOREO </t>
  </si>
  <si>
    <t xml:space="preserve">Evaluación </t>
  </si>
  <si>
    <t>Puntaje</t>
  </si>
  <si>
    <t xml:space="preserve">Orden </t>
  </si>
  <si>
    <t>Nivel de cumplimiento -Aaspectos particulares por componente</t>
  </si>
  <si>
    <t xml:space="preserve">Promedios </t>
  </si>
  <si>
    <t>1a</t>
  </si>
  <si>
    <t>1b</t>
  </si>
  <si>
    <t>1c</t>
  </si>
  <si>
    <t>1d</t>
  </si>
  <si>
    <t>1e</t>
  </si>
  <si>
    <t>1f</t>
  </si>
  <si>
    <t>1g</t>
  </si>
  <si>
    <t>1h</t>
  </si>
  <si>
    <t>1i</t>
  </si>
  <si>
    <t>1j</t>
  </si>
  <si>
    <t>1k</t>
  </si>
  <si>
    <t>1l</t>
  </si>
  <si>
    <t>2a</t>
  </si>
  <si>
    <t>La identificación de cambios en su entorno que pueden generar consecuencias negativas en su gestión</t>
  </si>
  <si>
    <t>2b</t>
  </si>
  <si>
    <t>La identificación de aquellos problemas o aspectos que pueden afectar el cumplimiento de los planes de la entidad y en general su gestión institucional (riesgos)</t>
  </si>
  <si>
    <t>2c</t>
  </si>
  <si>
    <t>La identificación  de los riesgos relacionados con posibles actos de corrupción en el ejercicio de sus funciones</t>
  </si>
  <si>
    <t>2d</t>
  </si>
  <si>
    <t>3a</t>
  </si>
  <si>
    <t>3b</t>
  </si>
  <si>
    <t>3c</t>
  </si>
  <si>
    <t>4a</t>
  </si>
  <si>
    <t>4b</t>
  </si>
  <si>
    <t>4c</t>
  </si>
  <si>
    <t>5a</t>
  </si>
  <si>
    <t>5b</t>
  </si>
  <si>
    <t>5c</t>
  </si>
  <si>
    <t>5d</t>
  </si>
  <si>
    <t>5e</t>
  </si>
  <si>
    <t>6a</t>
  </si>
  <si>
    <t>6b</t>
  </si>
  <si>
    <t>6c</t>
  </si>
  <si>
    <t>6d</t>
  </si>
  <si>
    <t>6e</t>
  </si>
  <si>
    <t>El jefe de control interno o quien haga sus veces, ha podido evidenciar si en la entidad si el manejo que se ha hecho a los problemas que afectan el cumplimiento de sus metas y objetivos (riesgos) le ha permitido:</t>
  </si>
  <si>
    <t>6f</t>
  </si>
  <si>
    <t>6g</t>
  </si>
  <si>
    <t>7a</t>
  </si>
  <si>
    <t>7d</t>
  </si>
  <si>
    <t>7f</t>
  </si>
  <si>
    <t>7g</t>
  </si>
  <si>
    <t>8h</t>
  </si>
  <si>
    <t>9a</t>
  </si>
  <si>
    <t>9b</t>
  </si>
  <si>
    <t>9c</t>
  </si>
  <si>
    <t>9d</t>
  </si>
  <si>
    <t>9e</t>
  </si>
  <si>
    <t>Acto administrativo de adopcion de MIPG, actualmente se estan implementando y desarrollando las 18 politicas operativas y plan de mejora a resultados FURAG 2019</t>
  </si>
  <si>
    <t>Se adopto mediante resolucion el codigo de integridad y valores del servicio publico, se realizo ejercicio de socializacion y se eligieron 3 valores adicionales que representan la institucionalidaad.</t>
  </si>
  <si>
    <t>Se llevo a cabo la preparacion, diagnosticos y formulacion del plan de desarrollo con sus programas y proyectos lo mismo que el correspondiente plan de accion anual, se reformulo la mision, la vision y los objetivos institucionales</t>
  </si>
  <si>
    <t>Se formalizo con acto administrativo la planta de personal, el manual de funciones y competencias laborales y se determino la estructura organizacional (organigrama)</t>
  </si>
  <si>
    <t>Actualmente se encuentra en desarrollo el modelo de operación por procesos y la formlcion de los procedimientos institucionales para 36 procesos</t>
  </si>
  <si>
    <t>Se encuentra en etapa de formlacion los planes de capacitacion, induccion y reinduccion, bienestar e incentivos.</t>
  </si>
  <si>
    <t>Se encuentra en desarrollo la implementacion de la EDL y otros mecanismos para medir la eficacia de los contratistas de apoyo a la gestion adscritos a la entidad</t>
  </si>
  <si>
    <t>Actualmente se diseña la estrategia para la rendicion de cuentas correspondientes a la vigencia 2020</t>
  </si>
  <si>
    <t>Se presentan con oportunidad los informes de plan de desarrollo, planes de accion, POAI, PAC, PAA, PAAC, CHIP, RCL, DNDA, SECOP.</t>
  </si>
  <si>
    <t>se realizo diagnostico para presentacion de plan de desarroollo y actualmente se desarrolla un analisis de capacidades y entornos.</t>
  </si>
  <si>
    <t>Se encuentra en desarrollo la formlacion de la politica de riesgos y el mapa de riesgos con sus correspondientes controles</t>
  </si>
  <si>
    <t>Reuniones de comites operativos y recientemente la adopcion del comité institucional de gestion y desempeño y el comité institucional de coordinacion del control interno</t>
  </si>
  <si>
    <t>si y se ha diseñado un mecanismo de autoevaluacion para asegurar la primera linea de defensa</t>
  </si>
  <si>
    <t>No, actualmente el mecanismo de 3 lineas de fensa permite detectar no conformidades y generar alertas tempranas</t>
  </si>
  <si>
    <t>se encuentra el desarrollo de la politica de riesgos asciada a los procesos para la determinacion de controles y responsables</t>
  </si>
  <si>
    <t>documento con 5 componentes y acto administrativo de adopcion</t>
  </si>
  <si>
    <t>cada persona vinculada a procesos institucionales es responsable de la informacion generada</t>
  </si>
  <si>
    <t xml:space="preserve">Actualmente estan habilitados los canales presenciales, telefonicos, el coreo eletronico, las redes sociales, la ventanilla unica. Se encuentran en desarrollo el buzon de PQRSD fiico y virtual y las encuestas de percepcion y evaluacion del servicio. </t>
  </si>
  <si>
    <t>Plataformas de informes (SECOP, CHIP, RCL)</t>
  </si>
  <si>
    <t>Se encuentra en fase de investigacion y diseño de la politica de datos reservados y tratamiento de la informacion.</t>
  </si>
  <si>
    <t>Se encuentra en desarrollo un proceso para el efecto</t>
  </si>
  <si>
    <t>Se encuentra en desarrollo el meanismo de las tres lineas de defensa y otros mecanismos de verificacion, seguimiento y control</t>
  </si>
  <si>
    <t>Se ha formulado un plan de mejoramiento con los resultados del FURAG 2019</t>
  </si>
  <si>
    <t>Se ha formulado un plan de mejoramiento con los resultados del FURAG 2020</t>
  </si>
  <si>
    <t>En el año se ha convocado una reunion de comité por parte del jefe de control interno de la alcaldia</t>
  </si>
  <si>
    <t>ENERO 1 A JUNIO 30 DE 2020</t>
  </si>
  <si>
    <t>A partir de un diagnostico de la entidad, la auditoria interna y los resultados del furag, se esta dando curso a la implementacion integral de MIPG, Incluido el sistema de control interno (MECI). A partir de esto, se aplican uniformemente los componentes de forma integrada</t>
  </si>
  <si>
    <t>Aun no se implementa al 100 % el sistema de control interno, tampoco se han evaluado los objetivos dado que el plan de desarrollo esta recien formulado y apenas se estan homologando las acciones para determinar su meicion, por tanto la efectividad no esta asegurada, ni comprobada</t>
  </si>
  <si>
    <t>Aun no se ha implementado al 100% el sistema de control interno. Las 3 lineas de defensa apenas estan en etapa diagnostica y de diseño de procesos, por tanto no hay toma de decisiones basadas en este precepto.</t>
  </si>
  <si>
    <r>
      <rPr>
        <b/>
        <sz val="14"/>
        <color theme="1"/>
        <rFont val="Century Gothic"/>
        <family val="2"/>
      </rPr>
      <t>Debilidades:</t>
    </r>
    <r>
      <rPr>
        <sz val="14"/>
        <color theme="1"/>
        <rFont val="Century Gothic"/>
        <family val="2"/>
      </rPr>
      <t xml:space="preserve"> No se encuentra totalmente formulada la politica de riesgos y tampoco se han formulado todos los riesgos a traves de un mapa con asignacion de controles y responsables.                                                                              </t>
    </r>
    <r>
      <rPr>
        <b/>
        <sz val="14"/>
        <color theme="1"/>
        <rFont val="Century Gothic"/>
        <family val="2"/>
      </rPr>
      <t>Fortalezas:</t>
    </r>
    <r>
      <rPr>
        <sz val="14"/>
        <color theme="1"/>
        <rFont val="Century Gothic"/>
        <family val="2"/>
      </rPr>
      <t xml:space="preserve"> Se estan caracterizando los procesos basados en riesgos y hay personal disponible para realizar y ejecutar la tarea.</t>
    </r>
  </si>
  <si>
    <r>
      <rPr>
        <b/>
        <sz val="14"/>
        <rFont val="Century Gothic"/>
        <family val="2"/>
      </rPr>
      <t>Debilidades:</t>
    </r>
    <r>
      <rPr>
        <sz val="14"/>
        <rFont val="Century Gothic"/>
        <family val="2"/>
      </rPr>
      <t xml:space="preserve"> No existia previa la iniciacion de la vigencia 2020 una linea de base para el aseguramieno de un ambiente de control, ya que la institucion bajo la direccion del anterior director no lo desarrollo como esta establecido en la normatividad y no tenia implementado los productos de MIPG. En la actual vigencia se han tenido que empezar a construir y aplicar simultaneamente y tratandose de un trabajo exhaustivo y de analisis d todos los entornos aun no esta funcionando al 100%.                                                                                                                               </t>
    </r>
    <r>
      <rPr>
        <b/>
        <sz val="14"/>
        <rFont val="Century Gothic"/>
        <family val="2"/>
      </rPr>
      <t>Fortalezas:</t>
    </r>
    <r>
      <rPr>
        <sz val="14"/>
        <rFont val="Century Gothic"/>
        <family val="2"/>
      </rPr>
      <t xml:space="preserve"> Existe la voluntad, el enfoque y la disposicion de recursos para dar curso a la implementacion integral de MIPG y el sistema de control interno, destinando personal idoneo para su elaboracion, implementacion y ejecucion.</t>
    </r>
  </si>
  <si>
    <r>
      <rPr>
        <b/>
        <sz val="14"/>
        <color theme="1"/>
        <rFont val="Century Gothic"/>
        <family val="2"/>
      </rPr>
      <t>Debilidades:</t>
    </r>
    <r>
      <rPr>
        <sz val="14"/>
        <color theme="1"/>
        <rFont val="Century Gothic"/>
        <family val="2"/>
      </rPr>
      <t xml:space="preserve"> Aun no entra en pleno funcionamiento el mecanismo de tres lineas de defensa, las actividades de monitoreo estan en fase de diseño y no se aplican al 100%.                                                                                                   </t>
    </r>
    <r>
      <rPr>
        <b/>
        <sz val="14"/>
        <color theme="1"/>
        <rFont val="Century Gothic"/>
        <family val="2"/>
      </rPr>
      <t>Fortalezas:</t>
    </r>
    <r>
      <rPr>
        <sz val="14"/>
        <color theme="1"/>
        <rFont val="Century Gothic"/>
        <family val="2"/>
      </rPr>
      <t xml:space="preserve"> Se realizan algunas actividades que van siendo construidas.</t>
    </r>
  </si>
  <si>
    <t>IMDERPRADERA</t>
  </si>
  <si>
    <r>
      <rPr>
        <b/>
        <sz val="14"/>
        <color theme="1"/>
        <rFont val="Century Gothic"/>
        <family val="2"/>
      </rPr>
      <t>Debilidades</t>
    </r>
    <r>
      <rPr>
        <sz val="14"/>
        <color theme="1"/>
        <rFont val="Century Gothic"/>
        <family val="2"/>
      </rPr>
      <t xml:space="preserve">: Aun no se cuenta con una esrategia consolidada de gobierno digital ni de transparencia y acceso a la informacion publica que permita divulgar en integridad los resultados y avances del sistema de control interno. Aun no se concluye la formulacion de la estrategia de rendicion de cuentas ni la del derecho a la informacion publica.                                                                                                                                    </t>
    </r>
    <r>
      <rPr>
        <b/>
        <sz val="14"/>
        <color theme="1"/>
        <rFont val="Century Gothic"/>
        <family val="2"/>
      </rPr>
      <t>Fortalezas:</t>
    </r>
    <r>
      <rPr>
        <sz val="14"/>
        <color theme="1"/>
        <rFont val="Century Gothic"/>
        <family val="2"/>
      </rPr>
      <t xml:space="preserve"> hay personal disponible. existe voluntad y decision para efectuar una estrategia y desarrollar el proceso a cabalidad. en la actualidad se esta desarrollando con algunos criterios que han sido implementados.</t>
    </r>
  </si>
  <si>
    <t>el IMDERPRADERA cuenta actualmente con 4 personas de planta 1 de libre nombramiento y remocion nombrada que oficia como director de establecimiento publico descentralizado y 3 personas nombradas en provisionalidad</t>
  </si>
  <si>
    <t>No existe un mecanismo diseñado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</si>
</sst>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1" x14ac:knownFonts="1">
    <font>
      <sz val="11"/>
      <color theme="1"/>
      <name val="Calibri"/>
      <family val="2"/>
      <scheme val="minor"/>
    </font>
    <font>
      <sz val="11"/>
      <name val="Arial"/>
      <family val="2"/>
    </font>
    <font>
      <b/>
      <sz val="12"/>
      <name val="Arial"/>
      <family val="2"/>
    </font>
    <font>
      <sz val="11"/>
      <color theme="1"/>
      <name val="Calibri"/>
      <family val="2"/>
      <scheme val="minor"/>
    </font>
    <font>
      <sz val="11"/>
      <color theme="0"/>
      <name val="Calibri"/>
      <family val="2"/>
      <scheme val="minor"/>
    </font>
    <font>
      <b/>
      <sz val="12"/>
      <color theme="0"/>
      <name val="Arial"/>
      <family val="2"/>
    </font>
    <font>
      <b/>
      <sz val="20"/>
      <color theme="0"/>
      <name val="Arial Narrow"/>
      <family val="2"/>
    </font>
    <font>
      <sz val="11"/>
      <color theme="1"/>
      <name val="Arial Narrow"/>
      <family val="2"/>
    </font>
    <font>
      <sz val="11"/>
      <color theme="0"/>
      <name val="Arial Narrow"/>
      <family val="2"/>
    </font>
    <font>
      <b/>
      <sz val="18"/>
      <color theme="0"/>
      <name val="Arial"/>
      <family val="2"/>
    </font>
    <font>
      <sz val="20"/>
      <color rgb="FFFF0000"/>
      <name val="Arial"/>
      <family val="2"/>
    </font>
    <font>
      <b/>
      <sz val="12"/>
      <color rgb="FFFF0000"/>
      <name val="Arial"/>
      <family val="2"/>
    </font>
    <font>
      <b/>
      <sz val="10"/>
      <color rgb="FFFF0000"/>
      <name val="Arial"/>
      <family val="2"/>
    </font>
    <font>
      <b/>
      <sz val="10"/>
      <color theme="1"/>
      <name val="Arial"/>
      <family val="2"/>
    </font>
    <font>
      <b/>
      <sz val="16"/>
      <color theme="1"/>
      <name val="Arial"/>
      <family val="2"/>
    </font>
    <font>
      <b/>
      <i/>
      <sz val="10"/>
      <name val="Arial"/>
      <family val="2"/>
    </font>
    <font>
      <b/>
      <i/>
      <sz val="10"/>
      <color theme="1"/>
      <name val="Arial"/>
      <family val="2"/>
    </font>
    <font>
      <b/>
      <sz val="16"/>
      <color theme="0"/>
      <name val="Arial Narrow"/>
      <family val="2"/>
    </font>
    <font>
      <b/>
      <sz val="12"/>
      <color theme="0"/>
      <name val="Arial Narrow"/>
      <family val="2"/>
    </font>
    <font>
      <b/>
      <sz val="10"/>
      <color theme="0"/>
      <name val="Arial Narrow"/>
      <family val="2"/>
    </font>
    <font>
      <sz val="12"/>
      <color theme="1"/>
      <name val="Arial"/>
      <family val="2"/>
    </font>
    <font>
      <sz val="10"/>
      <color theme="1"/>
      <name val="Calibri"/>
      <family val="2"/>
      <scheme val="minor"/>
    </font>
    <font>
      <sz val="10"/>
      <color theme="0"/>
      <name val="Arial Narrow"/>
      <family val="2"/>
    </font>
    <font>
      <sz val="14"/>
      <color theme="0"/>
      <name val="Arial"/>
      <family val="2"/>
    </font>
    <font>
      <sz val="10"/>
      <color theme="1"/>
      <name val="Arial Narrow"/>
      <family val="2"/>
    </font>
    <font>
      <b/>
      <sz val="11"/>
      <name val="Arial Narrow"/>
      <family val="2"/>
    </font>
    <font>
      <sz val="10"/>
      <name val="Arial Narrow"/>
      <family val="2"/>
    </font>
    <font>
      <sz val="16"/>
      <color theme="0"/>
      <name val="Calibri"/>
      <family val="2"/>
      <scheme val="minor"/>
    </font>
    <font>
      <b/>
      <sz val="18"/>
      <name val="Calibri"/>
      <family val="2"/>
      <scheme val="minor"/>
    </font>
    <font>
      <sz val="10"/>
      <name val="Arial"/>
      <family val="2"/>
    </font>
    <font>
      <b/>
      <sz val="14"/>
      <name val="Arial Narrow"/>
      <family val="2"/>
    </font>
    <font>
      <b/>
      <u/>
      <sz val="11"/>
      <name val="Arial Narrow"/>
      <family val="2"/>
    </font>
    <font>
      <b/>
      <sz val="10"/>
      <name val="Arial Narrow"/>
      <family val="2"/>
    </font>
    <font>
      <sz val="12"/>
      <name val="Times New Roman"/>
      <family val="1"/>
    </font>
    <font>
      <b/>
      <sz val="9"/>
      <name val="Arial Narrow"/>
      <family val="2"/>
    </font>
    <font>
      <sz val="9"/>
      <name val="Arial Narrow"/>
      <family val="2"/>
    </font>
    <font>
      <sz val="11"/>
      <name val="Arial Narrow"/>
      <family val="2"/>
    </font>
    <font>
      <b/>
      <sz val="10"/>
      <color theme="1"/>
      <name val="Arial Narrow"/>
      <family val="2"/>
    </font>
    <font>
      <sz val="15"/>
      <name val="Arial Narrow"/>
      <family val="2"/>
    </font>
    <font>
      <sz val="15"/>
      <color theme="1"/>
      <name val="Arial Narrow"/>
      <family val="2"/>
    </font>
    <font>
      <sz val="8"/>
      <name val="Calibri"/>
      <family val="2"/>
      <scheme val="minor"/>
    </font>
    <font>
      <b/>
      <sz val="18"/>
      <color theme="1"/>
      <name val="Calibri"/>
      <family val="2"/>
      <scheme val="minor"/>
    </font>
    <font>
      <b/>
      <sz val="20"/>
      <name val="Arial"/>
      <family val="2"/>
    </font>
    <font>
      <sz val="18"/>
      <name val="Arial Narrow"/>
      <family val="2"/>
    </font>
    <font>
      <sz val="12"/>
      <color theme="0"/>
      <name val="Arial Narrow"/>
      <family val="2"/>
    </font>
    <font>
      <b/>
      <sz val="14"/>
      <color theme="0"/>
      <name val="Arial Narrow"/>
      <family val="2"/>
    </font>
    <font>
      <sz val="12"/>
      <name val="Arial Narrow"/>
      <family val="2"/>
    </font>
    <font>
      <sz val="12"/>
      <color theme="1"/>
      <name val="Arial Narrow"/>
      <family val="2"/>
    </font>
    <font>
      <sz val="14"/>
      <color theme="1"/>
      <name val="Calibri"/>
      <family val="2"/>
      <scheme val="minor"/>
    </font>
    <font>
      <b/>
      <sz val="14"/>
      <name val="Arial"/>
      <family val="2"/>
    </font>
    <font>
      <sz val="18"/>
      <color theme="1"/>
      <name val="Arial"/>
      <family val="2"/>
    </font>
    <font>
      <b/>
      <sz val="24"/>
      <color theme="0"/>
      <name val="Arial Narrow"/>
      <family val="2"/>
    </font>
    <font>
      <b/>
      <sz val="20"/>
      <color theme="0"/>
      <name val="Arial"/>
      <family val="2"/>
    </font>
    <font>
      <sz val="20"/>
      <color theme="1"/>
      <name val="Calibri"/>
      <family val="2"/>
      <scheme val="minor"/>
    </font>
    <font>
      <b/>
      <u/>
      <sz val="20"/>
      <color theme="0"/>
      <name val="Arial"/>
      <family val="2"/>
    </font>
    <font>
      <sz val="25"/>
      <color theme="1"/>
      <name val="Calibri"/>
      <family val="2"/>
      <scheme val="minor"/>
    </font>
    <font>
      <sz val="25"/>
      <color theme="1"/>
      <name val="Arial Narrow"/>
      <family val="2"/>
    </font>
    <font>
      <sz val="14"/>
      <color theme="1"/>
      <name val="Century Gothic"/>
      <family val="2"/>
    </font>
    <font>
      <sz val="14"/>
      <name val="Century Gothic"/>
      <family val="2"/>
    </font>
    <font>
      <b/>
      <sz val="14"/>
      <name val="Century Gothic"/>
      <family val="2"/>
    </font>
    <font>
      <b/>
      <sz val="14"/>
      <color theme="1"/>
      <name val="Century Gothic"/>
      <family val="2"/>
    </font>
  </fonts>
  <fills count="17">
    <fill>
      <patternFill patternType="none"/>
    </fill>
    <fill>
      <patternFill patternType="gray125"/>
    </fill>
    <fill>
      <patternFill patternType="solid">
        <fgColor theme="3"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FFCC00"/>
        <bgColor indexed="64"/>
      </patternFill>
    </fill>
    <fill>
      <patternFill patternType="solid">
        <fgColor rgb="FF00B050"/>
        <bgColor indexed="64"/>
      </patternFill>
    </fill>
    <fill>
      <patternFill patternType="solid">
        <fgColor rgb="FF83A343"/>
        <bgColor indexed="64"/>
      </patternFill>
    </fill>
    <fill>
      <patternFill patternType="solid">
        <fgColor theme="9" tint="0.39997558519241921"/>
        <bgColor indexed="64"/>
      </patternFill>
    </fill>
  </fills>
  <borders count="94">
    <border>
      <left/>
      <right/>
      <top/>
      <bottom/>
      <diagonal/>
    </border>
    <border>
      <left/>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auto="1"/>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auto="1"/>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rgb="FF81829A"/>
      </left>
      <right/>
      <top style="thin">
        <color rgb="FF81829A"/>
      </top>
      <bottom style="thin">
        <color indexed="64"/>
      </bottom>
      <diagonal/>
    </border>
    <border>
      <left/>
      <right/>
      <top style="thin">
        <color rgb="FF81829A"/>
      </top>
      <bottom style="thin">
        <color indexed="64"/>
      </bottom>
      <diagonal/>
    </border>
    <border>
      <left/>
      <right style="thin">
        <color rgb="FF81829A"/>
      </right>
      <top style="thin">
        <color rgb="FF81829A"/>
      </top>
      <bottom style="thin">
        <color indexed="64"/>
      </bottom>
      <diagonal/>
    </border>
    <border>
      <left/>
      <right/>
      <top style="thin">
        <color auto="1"/>
      </top>
      <bottom/>
      <diagonal/>
    </border>
    <border>
      <left style="thin">
        <color rgb="FF81829A"/>
      </left>
      <right style="thin">
        <color rgb="FF81829A"/>
      </right>
      <top style="thin">
        <color rgb="FF81829A"/>
      </top>
      <bottom style="thin">
        <color rgb="FF81829A"/>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bottom/>
      <diagonal/>
    </border>
    <border>
      <left style="hair">
        <color indexed="64"/>
      </left>
      <right style="medium">
        <color indexed="64"/>
      </right>
      <top style="hair">
        <color indexed="64"/>
      </top>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bottom style="dashed">
        <color indexed="64"/>
      </bottom>
      <diagonal/>
    </border>
    <border>
      <left style="dashed">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right/>
      <top style="medium">
        <color indexed="64"/>
      </top>
      <bottom style="thin">
        <color indexed="64"/>
      </bottom>
      <diagonal/>
    </border>
    <border>
      <left style="dashed">
        <color indexed="64"/>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right/>
      <top style="dashed">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top style="thin">
        <color indexed="64"/>
      </top>
      <bottom style="hair">
        <color indexed="64"/>
      </bottom>
      <diagonal/>
    </border>
    <border>
      <left/>
      <right style="hair">
        <color indexed="64"/>
      </right>
      <top style="thin">
        <color indexed="64"/>
      </top>
      <bottom style="hair">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diagonal/>
    </border>
    <border>
      <left style="hair">
        <color indexed="64"/>
      </left>
      <right style="hair">
        <color indexed="64"/>
      </right>
      <top style="hair">
        <color indexed="64"/>
      </top>
      <bottom/>
      <diagonal/>
    </border>
    <border>
      <left style="medium">
        <color indexed="64"/>
      </left>
      <right style="hair">
        <color indexed="64"/>
      </right>
      <top style="hair">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s>
  <cellStyleXfs count="5">
    <xf numFmtId="0" fontId="0" fillId="0" borderId="0"/>
    <xf numFmtId="9" fontId="3" fillId="0" borderId="0" applyFont="0" applyFill="0" applyBorder="0" applyAlignment="0" applyProtection="0"/>
    <xf numFmtId="0" fontId="21" fillId="0" borderId="0"/>
    <xf numFmtId="0" fontId="29" fillId="0" borderId="0"/>
    <xf numFmtId="0" fontId="33" fillId="0" borderId="0"/>
  </cellStyleXfs>
  <cellXfs count="333">
    <xf numFmtId="0" fontId="0" fillId="0" borderId="0" xfId="0"/>
    <xf numFmtId="0" fontId="0" fillId="4" borderId="0" xfId="0" applyFill="1"/>
    <xf numFmtId="0" fontId="0" fillId="4" borderId="17" xfId="0" applyFill="1" applyBorder="1"/>
    <xf numFmtId="0" fontId="0" fillId="4" borderId="18" xfId="0" applyFill="1" applyBorder="1"/>
    <xf numFmtId="0" fontId="0" fillId="4" borderId="19" xfId="0" applyFill="1" applyBorder="1"/>
    <xf numFmtId="0" fontId="0" fillId="4" borderId="20" xfId="0" applyFill="1" applyBorder="1"/>
    <xf numFmtId="0" fontId="0" fillId="4" borderId="0" xfId="0" applyFill="1" applyBorder="1"/>
    <xf numFmtId="0" fontId="7" fillId="4" borderId="0" xfId="0" applyFont="1" applyFill="1" applyBorder="1" applyAlignment="1">
      <alignment horizontal="center"/>
    </xf>
    <xf numFmtId="0" fontId="0" fillId="4" borderId="21" xfId="0" applyFill="1" applyBorder="1"/>
    <xf numFmtId="164" fontId="7" fillId="4" borderId="0" xfId="0" applyNumberFormat="1" applyFont="1" applyFill="1" applyBorder="1" applyAlignment="1">
      <alignment horizontal="center"/>
    </xf>
    <xf numFmtId="0" fontId="8" fillId="4" borderId="0" xfId="0" applyFont="1" applyFill="1" applyBorder="1" applyAlignment="1">
      <alignment vertical="center"/>
    </xf>
    <xf numFmtId="0" fontId="10" fillId="4" borderId="0" xfId="0" applyFont="1" applyFill="1" applyBorder="1" applyAlignment="1">
      <alignment horizontal="center" vertical="center"/>
    </xf>
    <xf numFmtId="0" fontId="11" fillId="4" borderId="0" xfId="0" applyFont="1" applyFill="1" applyBorder="1"/>
    <xf numFmtId="0" fontId="9" fillId="4" borderId="0"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0" xfId="0" applyFont="1" applyFill="1" applyBorder="1" applyAlignment="1">
      <alignment horizontal="center" vertical="center"/>
    </xf>
    <xf numFmtId="0" fontId="12" fillId="4" borderId="0" xfId="0" applyFont="1" applyFill="1" applyBorder="1" applyAlignment="1">
      <alignment wrapText="1"/>
    </xf>
    <xf numFmtId="0" fontId="13" fillId="4" borderId="0" xfId="0" applyFont="1" applyFill="1" applyAlignment="1">
      <alignment wrapText="1"/>
    </xf>
    <xf numFmtId="0" fontId="0" fillId="0" borderId="0" xfId="0" applyBorder="1"/>
    <xf numFmtId="0" fontId="5" fillId="0" borderId="0" xfId="0" applyFont="1" applyFill="1" applyBorder="1" applyAlignment="1">
      <alignment vertical="center"/>
    </xf>
    <xf numFmtId="9" fontId="2" fillId="0" borderId="0" xfId="0" applyNumberFormat="1" applyFont="1" applyFill="1" applyBorder="1" applyAlignment="1">
      <alignment vertical="center"/>
    </xf>
    <xf numFmtId="0" fontId="2" fillId="4" borderId="21" xfId="0" applyFont="1" applyFill="1" applyBorder="1" applyAlignment="1">
      <alignment vertical="center"/>
    </xf>
    <xf numFmtId="0" fontId="2" fillId="4" borderId="0" xfId="0" applyFont="1" applyFill="1" applyBorder="1" applyAlignment="1">
      <alignment vertical="center"/>
    </xf>
    <xf numFmtId="0" fontId="0" fillId="0" borderId="0" xfId="0" applyFill="1" applyBorder="1"/>
    <xf numFmtId="0" fontId="0" fillId="0" borderId="3" xfId="0" applyBorder="1"/>
    <xf numFmtId="0" fontId="5" fillId="4" borderId="0" xfId="0" applyFont="1" applyFill="1" applyBorder="1" applyAlignment="1">
      <alignment vertical="center"/>
    </xf>
    <xf numFmtId="0" fontId="2" fillId="4" borderId="0" xfId="0" applyFont="1" applyFill="1" applyBorder="1" applyAlignment="1">
      <alignment horizontal="left" vertical="center"/>
    </xf>
    <xf numFmtId="0" fontId="15" fillId="4" borderId="0" xfId="0" applyFont="1" applyFill="1" applyBorder="1" applyAlignment="1">
      <alignment vertical="center"/>
    </xf>
    <xf numFmtId="0" fontId="16" fillId="4" borderId="0" xfId="0" applyFont="1" applyFill="1" applyBorder="1"/>
    <xf numFmtId="0" fontId="0" fillId="4" borderId="34" xfId="0" applyFill="1" applyBorder="1"/>
    <xf numFmtId="0" fontId="0" fillId="4" borderId="35" xfId="0" applyFill="1" applyBorder="1"/>
    <xf numFmtId="0" fontId="0" fillId="4" borderId="36" xfId="0" applyFill="1" applyBorder="1"/>
    <xf numFmtId="0" fontId="20" fillId="0" borderId="0" xfId="0" applyFont="1" applyBorder="1" applyAlignment="1">
      <alignment horizontal="center" wrapText="1"/>
    </xf>
    <xf numFmtId="0" fontId="5" fillId="4" borderId="0" xfId="0" applyFont="1" applyFill="1" applyBorder="1" applyAlignment="1">
      <alignment horizontal="center" vertical="center" wrapText="1"/>
    </xf>
    <xf numFmtId="0" fontId="4" fillId="4" borderId="0" xfId="0" applyFont="1" applyFill="1" applyBorder="1"/>
    <xf numFmtId="0" fontId="5" fillId="4" borderId="0" xfId="0" applyFont="1" applyFill="1" applyBorder="1" applyAlignment="1">
      <alignment horizontal="left" vertical="center"/>
    </xf>
    <xf numFmtId="9" fontId="5" fillId="4" borderId="0" xfId="0" applyNumberFormat="1" applyFont="1" applyFill="1" applyBorder="1" applyAlignment="1">
      <alignment horizontal="center" vertical="center"/>
    </xf>
    <xf numFmtId="0" fontId="4" fillId="4" borderId="0" xfId="0" applyFont="1" applyFill="1" applyBorder="1" applyAlignment="1">
      <alignment horizontal="left"/>
    </xf>
    <xf numFmtId="0" fontId="22" fillId="0" borderId="0" xfId="2" applyFont="1" applyFill="1" applyAlignment="1" applyProtection="1">
      <alignment vertical="center"/>
      <protection locked="0"/>
    </xf>
    <xf numFmtId="49" fontId="24" fillId="4" borderId="0" xfId="2" applyNumberFormat="1" applyFont="1" applyFill="1" applyAlignment="1" applyProtection="1">
      <alignment vertical="center"/>
      <protection locked="0"/>
    </xf>
    <xf numFmtId="0" fontId="24" fillId="4" borderId="0" xfId="2" applyFont="1" applyFill="1" applyAlignment="1" applyProtection="1">
      <alignment vertical="center"/>
      <protection locked="0"/>
    </xf>
    <xf numFmtId="9" fontId="26" fillId="4" borderId="0" xfId="2" applyNumberFormat="1" applyFont="1" applyFill="1" applyAlignment="1" applyProtection="1">
      <alignment vertical="center"/>
      <protection locked="0"/>
    </xf>
    <xf numFmtId="9" fontId="22" fillId="4" borderId="0" xfId="1" applyFont="1" applyFill="1" applyAlignment="1" applyProtection="1">
      <alignment vertical="center"/>
      <protection locked="0"/>
    </xf>
    <xf numFmtId="9" fontId="22" fillId="4" borderId="0" xfId="2" applyNumberFormat="1" applyFont="1" applyFill="1" applyAlignment="1" applyProtection="1">
      <alignment vertical="center"/>
      <protection locked="0"/>
    </xf>
    <xf numFmtId="0" fontId="26" fillId="4" borderId="0" xfId="2" applyFont="1" applyFill="1" applyAlignment="1" applyProtection="1">
      <alignment vertical="center"/>
      <protection locked="0"/>
    </xf>
    <xf numFmtId="0" fontId="26" fillId="0" borderId="0" xfId="3" applyFont="1" applyProtection="1"/>
    <xf numFmtId="0" fontId="7" fillId="4" borderId="0" xfId="0" applyFont="1" applyFill="1"/>
    <xf numFmtId="0" fontId="7" fillId="0" borderId="0" xfId="0" applyFont="1"/>
    <xf numFmtId="0" fontId="36" fillId="0" borderId="0" xfId="0" applyFont="1" applyAlignment="1">
      <alignment vertical="top"/>
    </xf>
    <xf numFmtId="49" fontId="36" fillId="0" borderId="0" xfId="0" applyNumberFormat="1" applyFont="1" applyAlignment="1">
      <alignment horizontal="center" vertical="top"/>
    </xf>
    <xf numFmtId="0" fontId="22" fillId="4" borderId="0" xfId="2" applyFont="1" applyFill="1" applyAlignment="1" applyProtection="1">
      <alignment vertical="center"/>
      <protection locked="0"/>
    </xf>
    <xf numFmtId="0" fontId="26" fillId="4" borderId="0" xfId="3" applyFont="1" applyFill="1" applyBorder="1" applyProtection="1"/>
    <xf numFmtId="0" fontId="26" fillId="4" borderId="59" xfId="3" applyFont="1" applyFill="1" applyBorder="1" applyAlignment="1" applyProtection="1">
      <alignment vertical="top" wrapText="1"/>
    </xf>
    <xf numFmtId="0" fontId="26" fillId="4" borderId="0" xfId="3" applyFont="1" applyFill="1" applyBorder="1" applyAlignment="1" applyProtection="1">
      <alignment vertical="top" wrapText="1"/>
    </xf>
    <xf numFmtId="0" fontId="26" fillId="4" borderId="60" xfId="3" applyFont="1" applyFill="1" applyBorder="1" applyAlignment="1" applyProtection="1">
      <alignment vertical="top" wrapText="1"/>
    </xf>
    <xf numFmtId="0" fontId="26" fillId="4" borderId="59" xfId="3" applyFont="1" applyFill="1" applyBorder="1" applyAlignment="1" applyProtection="1">
      <alignment horizontal="left" vertical="top"/>
    </xf>
    <xf numFmtId="0" fontId="26" fillId="4" borderId="60" xfId="3" applyFont="1" applyFill="1" applyBorder="1" applyAlignment="1" applyProtection="1">
      <alignment horizontal="left" vertical="top"/>
    </xf>
    <xf numFmtId="0" fontId="26" fillId="4" borderId="59" xfId="3" applyFont="1" applyFill="1" applyBorder="1" applyProtection="1"/>
    <xf numFmtId="0" fontId="34" fillId="4" borderId="0" xfId="4" applyFont="1" applyFill="1" applyBorder="1" applyAlignment="1" applyProtection="1">
      <alignment horizontal="left" vertical="top" wrapText="1" readingOrder="1"/>
    </xf>
    <xf numFmtId="0" fontId="26" fillId="4" borderId="60" xfId="3" applyFont="1" applyFill="1" applyBorder="1" applyProtection="1"/>
    <xf numFmtId="0" fontId="26" fillId="4" borderId="72" xfId="3" applyFont="1" applyFill="1" applyBorder="1" applyProtection="1"/>
    <xf numFmtId="0" fontId="26" fillId="4" borderId="73" xfId="3" applyFont="1" applyFill="1" applyBorder="1" applyProtection="1"/>
    <xf numFmtId="0" fontId="26" fillId="4" borderId="74" xfId="3" applyFont="1" applyFill="1" applyBorder="1" applyProtection="1"/>
    <xf numFmtId="0" fontId="34" fillId="4" borderId="0" xfId="0" applyFont="1" applyFill="1" applyBorder="1" applyAlignment="1" applyProtection="1">
      <alignment horizontal="left" vertical="center" wrapText="1"/>
    </xf>
    <xf numFmtId="0" fontId="35" fillId="4" borderId="0" xfId="0" applyFont="1" applyFill="1" applyBorder="1" applyAlignment="1" applyProtection="1">
      <alignment horizontal="left" vertical="top" wrapText="1"/>
    </xf>
    <xf numFmtId="0" fontId="26" fillId="4" borderId="0" xfId="3" quotePrefix="1" applyFont="1" applyFill="1" applyBorder="1" applyAlignment="1" applyProtection="1">
      <alignment horizontal="left" vertical="center" wrapText="1"/>
    </xf>
    <xf numFmtId="0" fontId="26" fillId="4" borderId="60" xfId="3" applyFont="1" applyFill="1" applyBorder="1" applyAlignment="1" applyProtection="1"/>
    <xf numFmtId="0" fontId="32" fillId="4" borderId="0" xfId="3" applyFont="1" applyFill="1" applyBorder="1" applyAlignment="1" applyProtection="1">
      <alignment horizontal="left" vertical="center" wrapText="1"/>
    </xf>
    <xf numFmtId="0" fontId="26" fillId="4" borderId="0" xfId="3" applyFont="1" applyFill="1" applyBorder="1" applyAlignment="1" applyProtection="1">
      <alignment horizontal="left" vertical="center" wrapText="1"/>
    </xf>
    <xf numFmtId="0" fontId="7" fillId="4" borderId="0" xfId="0" applyFont="1" applyFill="1" applyAlignment="1">
      <alignment vertical="center"/>
    </xf>
    <xf numFmtId="0" fontId="7" fillId="0" borderId="0" xfId="0" applyFont="1" applyAlignment="1">
      <alignment vertical="center"/>
    </xf>
    <xf numFmtId="0" fontId="8" fillId="4" borderId="0" xfId="0" applyFont="1" applyFill="1"/>
    <xf numFmtId="0" fontId="8" fillId="4" borderId="0" xfId="0" applyNumberFormat="1" applyFont="1" applyFill="1"/>
    <xf numFmtId="0" fontId="8" fillId="0" borderId="0" xfId="0" applyFont="1" applyAlignment="1">
      <alignment vertical="top"/>
    </xf>
    <xf numFmtId="0" fontId="8" fillId="0" borderId="0" xfId="0" applyNumberFormat="1" applyFont="1" applyAlignment="1">
      <alignment vertical="top"/>
    </xf>
    <xf numFmtId="0" fontId="8" fillId="0" borderId="0" xfId="0" applyNumberFormat="1" applyFont="1"/>
    <xf numFmtId="0" fontId="44" fillId="9" borderId="11" xfId="0" applyFont="1" applyFill="1" applyBorder="1" applyAlignment="1">
      <alignment horizontal="center" vertical="top" wrapText="1"/>
    </xf>
    <xf numFmtId="49" fontId="45" fillId="5" borderId="7" xfId="0" applyNumberFormat="1" applyFont="1" applyFill="1" applyBorder="1" applyAlignment="1">
      <alignment horizontal="center" vertical="center" wrapText="1"/>
    </xf>
    <xf numFmtId="0" fontId="45" fillId="5" borderId="7" xfId="0" applyFont="1" applyFill="1" applyBorder="1" applyAlignment="1">
      <alignment horizontal="center" vertical="center" wrapText="1"/>
    </xf>
    <xf numFmtId="0" fontId="45" fillId="5" borderId="10" xfId="0" applyFont="1" applyFill="1" applyBorder="1" applyAlignment="1">
      <alignment horizontal="center" vertical="center" wrapText="1"/>
    </xf>
    <xf numFmtId="0" fontId="45" fillId="5" borderId="5" xfId="0" applyFont="1" applyFill="1" applyBorder="1" applyAlignment="1">
      <alignment horizontal="center" vertical="center" wrapText="1"/>
    </xf>
    <xf numFmtId="0" fontId="46" fillId="0" borderId="2" xfId="0" applyFont="1" applyBorder="1" applyAlignment="1">
      <alignment horizontal="center" vertical="center" wrapText="1"/>
    </xf>
    <xf numFmtId="0" fontId="46" fillId="0" borderId="2" xfId="0" applyFont="1" applyBorder="1" applyAlignment="1">
      <alignment horizontal="left" vertical="center" wrapText="1"/>
    </xf>
    <xf numFmtId="0" fontId="46" fillId="0" borderId="3" xfId="0" applyFont="1" applyBorder="1" applyAlignment="1">
      <alignment horizontal="center" vertical="center" wrapText="1"/>
    </xf>
    <xf numFmtId="0" fontId="47" fillId="0" borderId="3" xfId="0" applyFont="1" applyFill="1" applyBorder="1" applyAlignment="1">
      <alignment horizontal="left" vertical="center" wrapText="1"/>
    </xf>
    <xf numFmtId="0" fontId="46" fillId="0" borderId="3" xfId="0" applyFont="1" applyBorder="1" applyAlignment="1">
      <alignment horizontal="left" vertical="center" wrapText="1"/>
    </xf>
    <xf numFmtId="0" fontId="46" fillId="0" borderId="4" xfId="0" applyFont="1" applyBorder="1" applyAlignment="1">
      <alignment horizontal="center" vertical="center" wrapText="1"/>
    </xf>
    <xf numFmtId="0" fontId="46" fillId="0" borderId="4" xfId="0" applyFont="1" applyBorder="1" applyAlignment="1">
      <alignment horizontal="left" vertical="center" wrapText="1"/>
    </xf>
    <xf numFmtId="0" fontId="46" fillId="0" borderId="3" xfId="0" applyFont="1" applyFill="1" applyBorder="1" applyAlignment="1">
      <alignment horizontal="center" vertical="center" wrapText="1"/>
    </xf>
    <xf numFmtId="0" fontId="46" fillId="0" borderId="2" xfId="0" applyFont="1" applyFill="1" applyBorder="1" applyAlignment="1">
      <alignment horizontal="left" vertical="center" wrapText="1"/>
    </xf>
    <xf numFmtId="0" fontId="9" fillId="13" borderId="3" xfId="0" applyFont="1" applyFill="1" applyBorder="1" applyAlignment="1">
      <alignment horizontal="center" vertical="center" wrapText="1"/>
    </xf>
    <xf numFmtId="0" fontId="50" fillId="0" borderId="0" xfId="0" applyFont="1" applyBorder="1" applyAlignment="1">
      <alignment horizontal="center" wrapText="1"/>
    </xf>
    <xf numFmtId="0" fontId="9" fillId="15" borderId="3"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51" fillId="2" borderId="3" xfId="0" applyFont="1" applyFill="1" applyBorder="1" applyAlignment="1">
      <alignment horizontal="center" vertical="center"/>
    </xf>
    <xf numFmtId="0" fontId="42" fillId="0" borderId="3" xfId="0" applyFont="1" applyFill="1" applyBorder="1" applyAlignment="1">
      <alignment horizontal="center" vertical="center"/>
    </xf>
    <xf numFmtId="0" fontId="53" fillId="0" borderId="0" xfId="0" applyFont="1" applyBorder="1" applyAlignment="1">
      <alignment horizontal="center"/>
    </xf>
    <xf numFmtId="0" fontId="52" fillId="12" borderId="31"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25" fillId="4" borderId="0" xfId="2" applyNumberFormat="1" applyFont="1" applyFill="1" applyBorder="1" applyAlignment="1" applyProtection="1">
      <alignment vertical="center" wrapText="1"/>
    </xf>
    <xf numFmtId="0" fontId="35" fillId="4" borderId="0" xfId="2" applyFont="1" applyFill="1" applyBorder="1" applyAlignment="1" applyProtection="1">
      <alignment vertical="center" wrapText="1"/>
    </xf>
    <xf numFmtId="0" fontId="36" fillId="0" borderId="0" xfId="0" applyNumberFormat="1" applyFont="1" applyAlignment="1" applyProtection="1">
      <alignment horizontal="center" vertical="top"/>
      <protection hidden="1"/>
    </xf>
    <xf numFmtId="0" fontId="38" fillId="0" borderId="79" xfId="0" applyFont="1" applyBorder="1" applyAlignment="1" applyProtection="1">
      <alignment horizontal="center" vertical="center" wrapText="1"/>
      <protection hidden="1"/>
    </xf>
    <xf numFmtId="0" fontId="8" fillId="0" borderId="0" xfId="0" applyNumberFormat="1" applyFont="1" applyAlignment="1" applyProtection="1">
      <alignment horizontal="center" vertical="top"/>
      <protection hidden="1"/>
    </xf>
    <xf numFmtId="0" fontId="39" fillId="0" borderId="9" xfId="0" applyFont="1" applyFill="1" applyBorder="1" applyAlignment="1" applyProtection="1">
      <alignment horizontal="center" vertical="center" wrapText="1"/>
      <protection hidden="1"/>
    </xf>
    <xf numFmtId="49" fontId="8" fillId="0" borderId="0" xfId="0" applyNumberFormat="1" applyFont="1" applyAlignment="1" applyProtection="1">
      <alignment horizontal="center" vertical="top"/>
      <protection hidden="1"/>
    </xf>
    <xf numFmtId="0" fontId="38" fillId="0" borderId="9" xfId="0" applyFont="1" applyBorder="1" applyAlignment="1" applyProtection="1">
      <alignment horizontal="center" vertical="center" wrapText="1"/>
      <protection hidden="1"/>
    </xf>
    <xf numFmtId="0" fontId="38" fillId="0" borderId="80" xfId="0" applyFont="1" applyBorder="1" applyAlignment="1" applyProtection="1">
      <alignment horizontal="center" vertical="center" wrapText="1"/>
      <protection hidden="1"/>
    </xf>
    <xf numFmtId="0" fontId="8" fillId="0" borderId="0" xfId="0" applyNumberFormat="1" applyFont="1" applyAlignment="1" applyProtection="1">
      <alignment vertical="top"/>
      <protection hidden="1"/>
    </xf>
    <xf numFmtId="0" fontId="38" fillId="0" borderId="79" xfId="0" applyFont="1" applyFill="1" applyBorder="1" applyAlignment="1" applyProtection="1">
      <alignment horizontal="center" vertical="center" wrapText="1"/>
      <protection hidden="1"/>
    </xf>
    <xf numFmtId="0" fontId="43" fillId="0" borderId="2" xfId="0" applyFont="1" applyBorder="1" applyAlignment="1" applyProtection="1">
      <alignment horizontal="center" vertical="center" wrapText="1"/>
      <protection locked="0"/>
    </xf>
    <xf numFmtId="0" fontId="36" fillId="0" borderId="79" xfId="0" applyFont="1" applyBorder="1" applyAlignment="1" applyProtection="1">
      <alignment horizontal="left" vertical="center" wrapText="1"/>
      <protection locked="0"/>
    </xf>
    <xf numFmtId="0" fontId="43" fillId="0" borderId="3"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left" vertical="center" wrapText="1"/>
      <protection locked="0"/>
    </xf>
    <xf numFmtId="0" fontId="43" fillId="0" borderId="3" xfId="0" applyFont="1" applyBorder="1" applyAlignment="1" applyProtection="1">
      <alignment horizontal="center" vertical="center" wrapText="1"/>
      <protection locked="0"/>
    </xf>
    <xf numFmtId="0" fontId="36" fillId="0" borderId="9" xfId="0" applyFont="1" applyBorder="1" applyAlignment="1" applyProtection="1">
      <alignment horizontal="left" vertical="center" wrapText="1"/>
      <protection locked="0"/>
    </xf>
    <xf numFmtId="0" fontId="43" fillId="0" borderId="4" xfId="0" applyFont="1" applyBorder="1" applyAlignment="1" applyProtection="1">
      <alignment horizontal="center" vertical="center" wrapText="1"/>
      <protection locked="0"/>
    </xf>
    <xf numFmtId="0" fontId="36" fillId="0" borderId="80" xfId="0" applyFont="1" applyBorder="1" applyAlignment="1" applyProtection="1">
      <alignment horizontal="left" vertical="center" wrapText="1"/>
      <protection locked="0"/>
    </xf>
    <xf numFmtId="0" fontId="43" fillId="0" borderId="2" xfId="0" applyFont="1" applyFill="1" applyBorder="1" applyAlignment="1" applyProtection="1">
      <alignment horizontal="center" vertical="center" wrapText="1"/>
      <protection locked="0"/>
    </xf>
    <xf numFmtId="0" fontId="36" fillId="0" borderId="79" xfId="0" applyFont="1" applyFill="1" applyBorder="1" applyAlignment="1" applyProtection="1">
      <alignment horizontal="left" vertical="center" wrapText="1"/>
      <protection locked="0"/>
    </xf>
    <xf numFmtId="0" fontId="19" fillId="2" borderId="82" xfId="2" applyFont="1" applyFill="1" applyBorder="1" applyAlignment="1" applyProtection="1">
      <alignment horizontal="center" vertical="center"/>
    </xf>
    <xf numFmtId="0" fontId="19" fillId="2" borderId="82" xfId="2" applyFont="1" applyFill="1" applyBorder="1" applyAlignment="1" applyProtection="1">
      <alignment horizontal="center" vertical="center" wrapText="1"/>
    </xf>
    <xf numFmtId="0" fontId="1" fillId="0" borderId="2" xfId="0" applyFont="1" applyBorder="1" applyAlignment="1" applyProtection="1">
      <alignment horizontal="left" vertical="center" wrapText="1"/>
      <protection hidden="1"/>
    </xf>
    <xf numFmtId="0" fontId="0" fillId="0" borderId="2" xfId="0" applyBorder="1" applyAlignment="1" applyProtection="1">
      <alignment horizontal="center" vertical="center"/>
      <protection hidden="1"/>
    </xf>
    <xf numFmtId="0" fontId="40" fillId="0" borderId="84" xfId="0" applyFont="1" applyFill="1" applyBorder="1" applyAlignment="1" applyProtection="1">
      <alignment vertical="center" wrapText="1"/>
      <protection hidden="1"/>
    </xf>
    <xf numFmtId="0" fontId="1" fillId="0" borderId="3" xfId="0" applyFont="1" applyBorder="1" applyAlignment="1" applyProtection="1">
      <alignment horizontal="left" vertical="center" wrapText="1"/>
      <protection hidden="1"/>
    </xf>
    <xf numFmtId="0" fontId="0" fillId="0" borderId="3" xfId="0" applyBorder="1" applyAlignment="1" applyProtection="1">
      <alignment horizontal="center" vertical="center"/>
      <protection hidden="1"/>
    </xf>
    <xf numFmtId="0" fontId="40" fillId="0" borderId="85" xfId="0" applyFont="1" applyFill="1" applyBorder="1" applyAlignment="1" applyProtection="1">
      <alignment vertical="center" wrapText="1"/>
      <protection hidden="1"/>
    </xf>
    <xf numFmtId="0" fontId="1" fillId="0" borderId="4" xfId="0" applyFont="1" applyBorder="1" applyAlignment="1" applyProtection="1">
      <alignment horizontal="left" vertical="center" wrapText="1"/>
      <protection hidden="1"/>
    </xf>
    <xf numFmtId="0" fontId="0" fillId="0" borderId="4" xfId="0" applyBorder="1" applyAlignment="1" applyProtection="1">
      <alignment horizontal="center" vertical="center"/>
      <protection hidden="1"/>
    </xf>
    <xf numFmtId="0" fontId="40" fillId="0" borderId="86" xfId="0" applyFont="1" applyFill="1" applyBorder="1" applyAlignment="1" applyProtection="1">
      <alignment vertical="center" wrapText="1"/>
      <protection hidden="1"/>
    </xf>
    <xf numFmtId="0" fontId="1" fillId="0" borderId="7" xfId="0" applyFont="1" applyBorder="1" applyAlignment="1" applyProtection="1">
      <alignment horizontal="left" vertical="center" wrapText="1"/>
      <protection hidden="1"/>
    </xf>
    <xf numFmtId="0" fontId="0" fillId="0" borderId="7" xfId="0" applyBorder="1" applyAlignment="1" applyProtection="1">
      <alignment horizontal="center" vertical="center"/>
      <protection hidden="1"/>
    </xf>
    <xf numFmtId="0" fontId="40" fillId="0" borderId="5" xfId="0" applyFont="1" applyFill="1" applyBorder="1" applyAlignment="1" applyProtection="1">
      <alignment vertical="center" wrapText="1"/>
      <protection hidden="1"/>
    </xf>
    <xf numFmtId="0" fontId="1" fillId="0" borderId="6" xfId="0" applyFont="1" applyBorder="1" applyAlignment="1" applyProtection="1">
      <alignment horizontal="left" vertical="center" wrapText="1"/>
      <protection hidden="1"/>
    </xf>
    <xf numFmtId="0" fontId="0" fillId="0" borderId="6" xfId="0" applyBorder="1" applyAlignment="1" applyProtection="1">
      <alignment horizontal="center" vertical="center"/>
      <protection hidden="1"/>
    </xf>
    <xf numFmtId="0" fontId="40" fillId="0" borderId="6" xfId="0" applyFont="1" applyFill="1" applyBorder="1" applyAlignment="1" applyProtection="1">
      <alignment vertical="center" wrapText="1"/>
      <protection hidden="1"/>
    </xf>
    <xf numFmtId="0" fontId="40" fillId="0" borderId="3" xfId="0" applyFont="1" applyFill="1" applyBorder="1" applyAlignment="1" applyProtection="1">
      <alignment vertical="center" wrapText="1"/>
      <protection hidden="1"/>
    </xf>
    <xf numFmtId="0" fontId="40" fillId="0" borderId="7" xfId="0" applyFont="1" applyFill="1" applyBorder="1" applyAlignment="1" applyProtection="1">
      <alignment vertical="center" wrapText="1"/>
      <protection hidden="1"/>
    </xf>
    <xf numFmtId="0" fontId="48" fillId="0" borderId="22" xfId="0" applyFont="1" applyBorder="1" applyAlignment="1" applyProtection="1">
      <alignment horizontal="center" vertical="center"/>
      <protection hidden="1"/>
    </xf>
    <xf numFmtId="9" fontId="0" fillId="0" borderId="90" xfId="0" applyNumberFormat="1" applyBorder="1" applyAlignment="1" applyProtection="1">
      <alignment horizontal="center" vertical="center"/>
      <protection hidden="1"/>
    </xf>
    <xf numFmtId="9" fontId="0" fillId="0" borderId="91" xfId="0" applyNumberFormat="1" applyBorder="1" applyAlignment="1" applyProtection="1">
      <alignment horizontal="center" vertical="center"/>
      <protection hidden="1"/>
    </xf>
    <xf numFmtId="9" fontId="0" fillId="0" borderId="92" xfId="0" applyNumberFormat="1" applyBorder="1" applyAlignment="1" applyProtection="1">
      <alignment horizontal="center" vertical="center"/>
      <protection hidden="1"/>
    </xf>
    <xf numFmtId="9" fontId="0" fillId="0" borderId="93" xfId="0" applyNumberFormat="1" applyBorder="1" applyAlignment="1" applyProtection="1">
      <alignment horizontal="center" vertical="center"/>
      <protection hidden="1"/>
    </xf>
    <xf numFmtId="9" fontId="0" fillId="0" borderId="6" xfId="0" applyNumberFormat="1" applyBorder="1" applyAlignment="1" applyProtection="1">
      <alignment horizontal="center" vertical="center"/>
      <protection hidden="1"/>
    </xf>
    <xf numFmtId="9" fontId="0" fillId="0" borderId="3" xfId="0" applyNumberFormat="1" applyBorder="1" applyAlignment="1" applyProtection="1">
      <alignment horizontal="center" vertical="center"/>
      <protection hidden="1"/>
    </xf>
    <xf numFmtId="9" fontId="0" fillId="0" borderId="7" xfId="0" applyNumberFormat="1" applyBorder="1" applyAlignment="1" applyProtection="1">
      <alignment horizontal="center" vertical="center"/>
      <protection hidden="1"/>
    </xf>
    <xf numFmtId="9" fontId="42" fillId="2" borderId="26" xfId="0" applyNumberFormat="1" applyFont="1" applyFill="1" applyBorder="1" applyAlignment="1" applyProtection="1">
      <alignment horizontal="center" vertical="center"/>
      <protection hidden="1"/>
    </xf>
    <xf numFmtId="0" fontId="42" fillId="0" borderId="3" xfId="0" applyFont="1" applyFill="1" applyBorder="1" applyAlignment="1" applyProtection="1">
      <alignment horizontal="center" vertical="center"/>
      <protection hidden="1"/>
    </xf>
    <xf numFmtId="9" fontId="14" fillId="14" borderId="3" xfId="0" applyNumberFormat="1" applyFont="1" applyFill="1" applyBorder="1" applyAlignment="1" applyProtection="1">
      <alignment horizontal="center" vertical="center"/>
      <protection hidden="1"/>
    </xf>
    <xf numFmtId="49" fontId="55" fillId="4" borderId="2" xfId="0" applyNumberFormat="1" applyFont="1" applyFill="1" applyBorder="1" applyAlignment="1" applyProtection="1">
      <alignment horizontal="center" vertical="center" wrapText="1"/>
      <protection locked="0"/>
    </xf>
    <xf numFmtId="49" fontId="55" fillId="4" borderId="3" xfId="0" applyNumberFormat="1" applyFont="1" applyFill="1" applyBorder="1" applyAlignment="1" applyProtection="1">
      <alignment horizontal="center" vertical="center" wrapText="1"/>
      <protection locked="0"/>
    </xf>
    <xf numFmtId="49" fontId="55" fillId="4" borderId="4" xfId="0" applyNumberFormat="1" applyFont="1" applyFill="1" applyBorder="1" applyAlignment="1" applyProtection="1">
      <alignment horizontal="center" vertical="center" wrapText="1"/>
      <protection locked="0"/>
    </xf>
    <xf numFmtId="49" fontId="18" fillId="5" borderId="7" xfId="0" applyNumberFormat="1" applyFont="1" applyFill="1" applyBorder="1" applyAlignment="1" applyProtection="1">
      <alignment horizontal="center" vertical="center" wrapText="1"/>
      <protection hidden="1"/>
    </xf>
    <xf numFmtId="0" fontId="18" fillId="5" borderId="7" xfId="0" applyFont="1" applyFill="1" applyBorder="1" applyAlignment="1" applyProtection="1">
      <alignment horizontal="center" vertical="center" wrapText="1"/>
      <protection hidden="1"/>
    </xf>
    <xf numFmtId="0" fontId="18" fillId="5" borderId="10" xfId="0" applyFont="1" applyFill="1" applyBorder="1" applyAlignment="1" applyProtection="1">
      <alignment horizontal="center" vertical="center" wrapText="1"/>
      <protection hidden="1"/>
    </xf>
    <xf numFmtId="0" fontId="18" fillId="5" borderId="81" xfId="0" applyFont="1" applyFill="1" applyBorder="1" applyAlignment="1" applyProtection="1">
      <alignment horizontal="center" vertical="center" wrapText="1"/>
      <protection hidden="1"/>
    </xf>
    <xf numFmtId="0" fontId="0" fillId="0" borderId="0" xfId="0" applyProtection="1">
      <protection hidden="1"/>
    </xf>
    <xf numFmtId="9" fontId="0" fillId="0" borderId="0" xfId="1" applyFont="1" applyProtection="1">
      <protection hidden="1"/>
    </xf>
    <xf numFmtId="10" fontId="0" fillId="0" borderId="0" xfId="1" applyNumberFormat="1" applyFont="1" applyProtection="1">
      <protection hidden="1"/>
    </xf>
    <xf numFmtId="49" fontId="44" fillId="9" borderId="14" xfId="0" applyNumberFormat="1" applyFont="1" applyFill="1" applyBorder="1" applyAlignment="1">
      <alignment horizontal="center" vertical="center" wrapText="1"/>
    </xf>
    <xf numFmtId="49" fontId="44" fillId="9" borderId="11" xfId="0" applyNumberFormat="1" applyFont="1" applyFill="1" applyBorder="1" applyAlignment="1">
      <alignment horizontal="center" vertical="center" wrapText="1"/>
    </xf>
    <xf numFmtId="0" fontId="26" fillId="4" borderId="59" xfId="3" applyFont="1" applyFill="1" applyBorder="1" applyAlignment="1" applyProtection="1">
      <alignment horizontal="left" vertical="top" wrapText="1"/>
    </xf>
    <xf numFmtId="0" fontId="26" fillId="4" borderId="0" xfId="3" applyFont="1" applyFill="1" applyBorder="1" applyAlignment="1" applyProtection="1">
      <alignment horizontal="left" vertical="top" wrapText="1"/>
    </xf>
    <xf numFmtId="0" fontId="26" fillId="4" borderId="60" xfId="3" applyFont="1" applyFill="1" applyBorder="1" applyAlignment="1" applyProtection="1">
      <alignment horizontal="left" vertical="top" wrapText="1"/>
    </xf>
    <xf numFmtId="0" fontId="26" fillId="4" borderId="0" xfId="3" applyFont="1" applyFill="1" applyBorder="1" applyAlignment="1" applyProtection="1"/>
    <xf numFmtId="0" fontId="34" fillId="4" borderId="77" xfId="0" applyFont="1" applyFill="1" applyBorder="1" applyAlignment="1" applyProtection="1">
      <alignment horizontal="left" vertical="center" wrapText="1"/>
    </xf>
    <xf numFmtId="0" fontId="34" fillId="4" borderId="78" xfId="0" applyFont="1" applyFill="1" applyBorder="1" applyAlignment="1" applyProtection="1">
      <alignment horizontal="left" vertical="center" wrapText="1"/>
    </xf>
    <xf numFmtId="0" fontId="35" fillId="0" borderId="69" xfId="3" applyFont="1" applyFill="1" applyBorder="1" applyAlignment="1" applyProtection="1">
      <alignment horizontal="left" vertical="center" wrapText="1"/>
    </xf>
    <xf numFmtId="0" fontId="35" fillId="0" borderId="70" xfId="3" applyFont="1" applyFill="1" applyBorder="1" applyAlignment="1" applyProtection="1">
      <alignment horizontal="left" vertical="center" wrapText="1"/>
    </xf>
    <xf numFmtId="0" fontId="17" fillId="2" borderId="44" xfId="2" applyNumberFormat="1" applyFont="1" applyFill="1" applyBorder="1" applyAlignment="1" applyProtection="1">
      <alignment horizontal="center" vertical="center" wrapText="1"/>
    </xf>
    <xf numFmtId="0" fontId="17" fillId="2" borderId="45" xfId="2" applyNumberFormat="1" applyFont="1" applyFill="1" applyBorder="1" applyAlignment="1" applyProtection="1">
      <alignment horizontal="center" vertical="center" wrapText="1"/>
    </xf>
    <xf numFmtId="0" fontId="25" fillId="7" borderId="50" xfId="2" applyNumberFormat="1" applyFont="1" applyFill="1" applyBorder="1" applyAlignment="1" applyProtection="1">
      <alignment horizontal="center" vertical="center"/>
    </xf>
    <xf numFmtId="0" fontId="25" fillId="7" borderId="51" xfId="2" applyNumberFormat="1" applyFont="1" applyFill="1" applyBorder="1" applyAlignment="1" applyProtection="1">
      <alignment horizontal="center" vertical="center"/>
    </xf>
    <xf numFmtId="0" fontId="26" fillId="0" borderId="56" xfId="2" applyFont="1" applyFill="1" applyBorder="1" applyAlignment="1" applyProtection="1">
      <alignment horizontal="justify" vertical="center" wrapText="1"/>
    </xf>
    <xf numFmtId="0" fontId="26" fillId="0" borderId="57" xfId="2" applyFont="1" applyFill="1" applyBorder="1" applyAlignment="1" applyProtection="1">
      <alignment horizontal="justify" vertical="center" wrapText="1"/>
    </xf>
    <xf numFmtId="0" fontId="25" fillId="8" borderId="52" xfId="2" applyNumberFormat="1" applyFont="1" applyFill="1" applyBorder="1" applyAlignment="1" applyProtection="1">
      <alignment horizontal="center" vertical="center" wrapText="1"/>
    </xf>
    <xf numFmtId="0" fontId="25" fillId="8" borderId="53" xfId="2" applyNumberFormat="1" applyFont="1" applyFill="1" applyBorder="1" applyAlignment="1" applyProtection="1">
      <alignment horizontal="center" vertical="center"/>
    </xf>
    <xf numFmtId="0" fontId="26" fillId="0" borderId="53" xfId="2" applyFont="1" applyFill="1" applyBorder="1" applyAlignment="1" applyProtection="1">
      <alignment horizontal="justify" vertical="center" wrapText="1"/>
    </xf>
    <xf numFmtId="0" fontId="26" fillId="0" borderId="54" xfId="2" applyFont="1" applyFill="1" applyBorder="1" applyAlignment="1" applyProtection="1">
      <alignment horizontal="justify" vertical="center" wrapText="1"/>
    </xf>
    <xf numFmtId="0" fontId="37" fillId="4" borderId="71" xfId="2" applyNumberFormat="1" applyFont="1" applyFill="1" applyBorder="1" applyAlignment="1" applyProtection="1">
      <alignment horizontal="center" vertical="center" wrapText="1"/>
    </xf>
    <xf numFmtId="0" fontId="24" fillId="4" borderId="71" xfId="2" applyFont="1" applyFill="1" applyBorder="1" applyAlignment="1" applyProtection="1">
      <alignment horizontal="center" vertical="center" wrapText="1"/>
    </xf>
    <xf numFmtId="0" fontId="17" fillId="2" borderId="46" xfId="2" applyNumberFormat="1" applyFont="1" applyFill="1" applyBorder="1" applyAlignment="1" applyProtection="1">
      <alignment horizontal="center" vertical="center" wrapText="1"/>
    </xf>
    <xf numFmtId="0" fontId="25" fillId="14" borderId="47" xfId="2" applyNumberFormat="1" applyFont="1" applyFill="1" applyBorder="1" applyAlignment="1" applyProtection="1">
      <alignment horizontal="center" vertical="center"/>
    </xf>
    <xf numFmtId="0" fontId="25" fillId="14" borderId="48" xfId="2" applyNumberFormat="1" applyFont="1" applyFill="1" applyBorder="1" applyAlignment="1" applyProtection="1">
      <alignment horizontal="center" vertical="center"/>
    </xf>
    <xf numFmtId="0" fontId="26" fillId="0" borderId="48" xfId="2" applyFont="1" applyFill="1" applyBorder="1" applyAlignment="1" applyProtection="1">
      <alignment horizontal="justify" vertical="center" wrapText="1"/>
    </xf>
    <xf numFmtId="0" fontId="26" fillId="0" borderId="49" xfId="2" applyFont="1" applyFill="1" applyBorder="1" applyAlignment="1" applyProtection="1">
      <alignment horizontal="justify" vertical="center" wrapText="1"/>
    </xf>
    <xf numFmtId="0" fontId="34" fillId="4" borderId="75" xfId="4" applyFont="1" applyFill="1" applyBorder="1" applyAlignment="1" applyProtection="1">
      <alignment horizontal="left" vertical="center" wrapText="1" readingOrder="1"/>
    </xf>
    <xf numFmtId="0" fontId="34" fillId="4" borderId="76" xfId="4" applyFont="1" applyFill="1" applyBorder="1" applyAlignment="1" applyProtection="1">
      <alignment horizontal="left" vertical="center" wrapText="1" readingOrder="1"/>
    </xf>
    <xf numFmtId="0" fontId="35" fillId="0" borderId="65" xfId="3" applyFont="1" applyFill="1" applyBorder="1" applyAlignment="1" applyProtection="1">
      <alignment horizontal="left" vertical="center" wrapText="1"/>
    </xf>
    <xf numFmtId="0" fontId="35" fillId="0" borderId="66" xfId="3" applyFont="1" applyFill="1" applyBorder="1" applyAlignment="1" applyProtection="1">
      <alignment horizontal="left" vertical="center" wrapText="1"/>
    </xf>
    <xf numFmtId="0" fontId="34" fillId="4" borderId="67" xfId="0" applyFont="1" applyFill="1" applyBorder="1" applyAlignment="1" applyProtection="1">
      <alignment horizontal="left" vertical="center" wrapText="1"/>
    </xf>
    <xf numFmtId="0" fontId="34" fillId="4" borderId="68" xfId="0" applyFont="1" applyFill="1" applyBorder="1" applyAlignment="1" applyProtection="1">
      <alignment horizontal="left" vertical="center" wrapText="1"/>
    </xf>
    <xf numFmtId="0" fontId="35" fillId="0" borderId="69" xfId="3" applyFont="1" applyFill="1" applyBorder="1" applyAlignment="1" applyProtection="1">
      <alignment horizontal="left" vertical="top" wrapText="1"/>
    </xf>
    <xf numFmtId="0" fontId="35" fillId="0" borderId="70" xfId="3" applyFont="1" applyFill="1" applyBorder="1" applyAlignment="1" applyProtection="1">
      <alignment horizontal="left" vertical="top" wrapText="1"/>
    </xf>
    <xf numFmtId="0" fontId="30" fillId="0" borderId="58" xfId="3" applyFont="1" applyBorder="1" applyAlignment="1" applyProtection="1">
      <alignment horizontal="center" vertical="center" wrapText="1"/>
    </xf>
    <xf numFmtId="0" fontId="30" fillId="0" borderId="55" xfId="3" applyFont="1" applyBorder="1" applyAlignment="1" applyProtection="1">
      <alignment horizontal="center" vertical="center" wrapText="1"/>
    </xf>
    <xf numFmtId="0" fontId="30" fillId="0" borderId="8" xfId="3" applyFont="1" applyBorder="1" applyAlignment="1" applyProtection="1">
      <alignment horizontal="center" vertical="center" wrapText="1"/>
    </xf>
    <xf numFmtId="0" fontId="26" fillId="0" borderId="59" xfId="3" quotePrefix="1" applyFont="1" applyBorder="1" applyAlignment="1" applyProtection="1">
      <alignment horizontal="left" vertical="center" wrapText="1"/>
    </xf>
    <xf numFmtId="0" fontId="26" fillId="0" borderId="0" xfId="3" quotePrefix="1" applyFont="1" applyBorder="1" applyAlignment="1" applyProtection="1">
      <alignment horizontal="left" vertical="center" wrapText="1"/>
    </xf>
    <xf numFmtId="0" fontId="26" fillId="0" borderId="60" xfId="3" quotePrefix="1" applyFont="1" applyBorder="1" applyAlignment="1" applyProtection="1">
      <alignment horizontal="left" vertical="center" wrapText="1"/>
    </xf>
    <xf numFmtId="0" fontId="31" fillId="4" borderId="59" xfId="3" quotePrefix="1" applyFont="1" applyFill="1" applyBorder="1" applyAlignment="1" applyProtection="1">
      <alignment horizontal="left" vertical="top" wrapText="1"/>
    </xf>
    <xf numFmtId="0" fontId="25" fillId="4" borderId="0" xfId="3" quotePrefix="1" applyFont="1" applyFill="1" applyBorder="1" applyAlignment="1" applyProtection="1">
      <alignment horizontal="left" vertical="top" wrapText="1"/>
    </xf>
    <xf numFmtId="0" fontId="25" fillId="4" borderId="60" xfId="3" quotePrefix="1" applyFont="1" applyFill="1" applyBorder="1" applyAlignment="1" applyProtection="1">
      <alignment horizontal="left" vertical="top" wrapText="1"/>
    </xf>
    <xf numFmtId="0" fontId="26" fillId="4" borderId="59" xfId="3" quotePrefix="1" applyFont="1" applyFill="1" applyBorder="1" applyAlignment="1" applyProtection="1">
      <alignment horizontal="left" vertical="top" wrapText="1"/>
    </xf>
    <xf numFmtId="0" fontId="26" fillId="4" borderId="0" xfId="3" quotePrefix="1" applyFont="1" applyFill="1" applyBorder="1" applyAlignment="1" applyProtection="1">
      <alignment horizontal="left" vertical="top" wrapText="1"/>
    </xf>
    <xf numFmtId="0" fontId="26" fillId="4" borderId="60" xfId="3" quotePrefix="1" applyFont="1" applyFill="1" applyBorder="1" applyAlignment="1" applyProtection="1">
      <alignment horizontal="left" vertical="top" wrapText="1"/>
    </xf>
    <xf numFmtId="0" fontId="34" fillId="16" borderId="61" xfId="4" applyFont="1" applyFill="1" applyBorder="1" applyAlignment="1" applyProtection="1">
      <alignment horizontal="center" vertical="center" wrapText="1"/>
    </xf>
    <xf numFmtId="0" fontId="34" fillId="16" borderId="62" xfId="4" applyFont="1" applyFill="1" applyBorder="1" applyAlignment="1" applyProtection="1">
      <alignment horizontal="center" vertical="center" wrapText="1"/>
    </xf>
    <xf numFmtId="0" fontId="34" fillId="16" borderId="63" xfId="3" applyFont="1" applyFill="1" applyBorder="1" applyAlignment="1" applyProtection="1">
      <alignment horizontal="center" vertical="center"/>
    </xf>
    <xf numFmtId="0" fontId="34" fillId="16" borderId="64" xfId="3" applyFont="1" applyFill="1" applyBorder="1" applyAlignment="1" applyProtection="1">
      <alignment horizontal="center" vertical="center"/>
    </xf>
    <xf numFmtId="49" fontId="45" fillId="5" borderId="0" xfId="0" applyNumberFormat="1" applyFont="1" applyFill="1" applyBorder="1" applyAlignment="1">
      <alignment horizontal="center" vertical="center"/>
    </xf>
    <xf numFmtId="0" fontId="44" fillId="11" borderId="11" xfId="0" applyFont="1" applyFill="1" applyBorder="1" applyAlignment="1">
      <alignment horizontal="center" vertical="center" wrapText="1"/>
    </xf>
    <xf numFmtId="0" fontId="44" fillId="11" borderId="12" xfId="0" applyFont="1" applyFill="1" applyBorder="1" applyAlignment="1">
      <alignment horizontal="center" vertical="center" wrapText="1"/>
    </xf>
    <xf numFmtId="0" fontId="44" fillId="11" borderId="13" xfId="0" applyFont="1" applyFill="1" applyBorder="1" applyAlignment="1">
      <alignment horizontal="center" vertical="center" wrapText="1"/>
    </xf>
    <xf numFmtId="49" fontId="44" fillId="11" borderId="14" xfId="0" applyNumberFormat="1" applyFont="1" applyFill="1" applyBorder="1" applyAlignment="1">
      <alignment horizontal="center" vertical="center" wrapText="1"/>
    </xf>
    <xf numFmtId="49" fontId="44" fillId="11" borderId="15" xfId="0" applyNumberFormat="1" applyFont="1" applyFill="1" applyBorder="1" applyAlignment="1">
      <alignment horizontal="center" vertical="center" wrapText="1"/>
    </xf>
    <xf numFmtId="49" fontId="44" fillId="11" borderId="16" xfId="0" applyNumberFormat="1" applyFont="1" applyFill="1" applyBorder="1" applyAlignment="1">
      <alignment horizontal="center" vertical="center" wrapText="1"/>
    </xf>
    <xf numFmtId="0" fontId="44" fillId="9" borderId="11" xfId="0" applyFont="1" applyFill="1" applyBorder="1" applyAlignment="1">
      <alignment horizontal="center" vertical="center" wrapText="1"/>
    </xf>
    <xf numFmtId="0" fontId="44" fillId="9" borderId="12" xfId="0" applyFont="1" applyFill="1" applyBorder="1" applyAlignment="1">
      <alignment horizontal="center" vertical="center" wrapText="1"/>
    </xf>
    <xf numFmtId="0" fontId="44" fillId="9" borderId="13" xfId="0" applyFont="1" applyFill="1" applyBorder="1" applyAlignment="1">
      <alignment horizontal="center" vertical="center" wrapText="1"/>
    </xf>
    <xf numFmtId="49" fontId="44" fillId="9" borderId="14" xfId="0" applyNumberFormat="1" applyFont="1" applyFill="1" applyBorder="1" applyAlignment="1">
      <alignment horizontal="center" vertical="center" wrapText="1"/>
    </xf>
    <xf numFmtId="49" fontId="44" fillId="9" borderId="15" xfId="0" applyNumberFormat="1" applyFont="1" applyFill="1" applyBorder="1" applyAlignment="1">
      <alignment horizontal="center" vertical="center" wrapText="1"/>
    </xf>
    <xf numFmtId="49" fontId="44" fillId="9" borderId="16" xfId="0" applyNumberFormat="1" applyFont="1" applyFill="1" applyBorder="1" applyAlignment="1">
      <alignment horizontal="center" vertical="center" wrapText="1"/>
    </xf>
    <xf numFmtId="0" fontId="44" fillId="6" borderId="11" xfId="0" applyFont="1" applyFill="1" applyBorder="1" applyAlignment="1">
      <alignment horizontal="center" vertical="center" wrapText="1"/>
    </xf>
    <xf numFmtId="0" fontId="44" fillId="6" borderId="12" xfId="0" applyFont="1" applyFill="1" applyBorder="1" applyAlignment="1">
      <alignment horizontal="center" vertical="center" wrapText="1"/>
    </xf>
    <xf numFmtId="0" fontId="44" fillId="6" borderId="13" xfId="0" applyFont="1" applyFill="1" applyBorder="1" applyAlignment="1">
      <alignment horizontal="center" vertical="center" wrapText="1"/>
    </xf>
    <xf numFmtId="49" fontId="8" fillId="6" borderId="14"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49" fontId="8" fillId="6" borderId="16" xfId="0" applyNumberFormat="1" applyFont="1" applyFill="1" applyBorder="1" applyAlignment="1">
      <alignment horizontal="center" vertical="center" wrapText="1"/>
    </xf>
    <xf numFmtId="49" fontId="8" fillId="10" borderId="14" xfId="0" applyNumberFormat="1" applyFont="1" applyFill="1" applyBorder="1" applyAlignment="1">
      <alignment horizontal="center" vertical="center" wrapText="1"/>
    </xf>
    <xf numFmtId="49" fontId="8" fillId="10" borderId="15" xfId="0" applyNumberFormat="1" applyFont="1" applyFill="1" applyBorder="1" applyAlignment="1">
      <alignment horizontal="center" vertical="center" wrapText="1"/>
    </xf>
    <xf numFmtId="49" fontId="8" fillId="10" borderId="16" xfId="0" applyNumberFormat="1" applyFont="1" applyFill="1" applyBorder="1" applyAlignment="1">
      <alignment horizontal="center" vertical="center" wrapText="1"/>
    </xf>
    <xf numFmtId="0" fontId="44" fillId="10" borderId="11" xfId="0" applyFont="1" applyFill="1" applyBorder="1" applyAlignment="1">
      <alignment horizontal="center" vertical="center" wrapText="1"/>
    </xf>
    <xf numFmtId="0" fontId="44" fillId="10" borderId="12" xfId="0" applyFont="1" applyFill="1" applyBorder="1" applyAlignment="1">
      <alignment horizontal="center" vertical="center" wrapText="1"/>
    </xf>
    <xf numFmtId="0" fontId="44" fillId="10" borderId="13" xfId="0" applyFont="1" applyFill="1" applyBorder="1" applyAlignment="1">
      <alignment horizontal="center" vertical="center" wrapText="1"/>
    </xf>
    <xf numFmtId="0" fontId="44" fillId="9" borderId="6" xfId="0" applyFont="1" applyFill="1" applyBorder="1" applyAlignment="1">
      <alignment horizontal="center" vertical="center" wrapText="1"/>
    </xf>
    <xf numFmtId="49" fontId="44" fillId="6" borderId="11" xfId="0" applyNumberFormat="1" applyFont="1" applyFill="1" applyBorder="1" applyAlignment="1">
      <alignment horizontal="center" vertical="center" wrapText="1"/>
    </xf>
    <xf numFmtId="49" fontId="44" fillId="6" borderId="12" xfId="0" applyNumberFormat="1" applyFont="1" applyFill="1" applyBorder="1" applyAlignment="1">
      <alignment horizontal="center" vertical="center" wrapText="1"/>
    </xf>
    <xf numFmtId="49" fontId="44" fillId="6" borderId="13" xfId="0" applyNumberFormat="1" applyFont="1" applyFill="1" applyBorder="1" applyAlignment="1">
      <alignment horizontal="center" vertical="center" wrapText="1"/>
    </xf>
    <xf numFmtId="49" fontId="44" fillId="10" borderId="11" xfId="0" applyNumberFormat="1" applyFont="1" applyFill="1" applyBorder="1" applyAlignment="1">
      <alignment horizontal="center" vertical="center" wrapText="1"/>
    </xf>
    <xf numFmtId="49" fontId="44" fillId="10" borderId="12" xfId="0" applyNumberFormat="1" applyFont="1" applyFill="1" applyBorder="1" applyAlignment="1">
      <alignment horizontal="center" vertical="center" wrapText="1"/>
    </xf>
    <xf numFmtId="49" fontId="44" fillId="10" borderId="13" xfId="0" applyNumberFormat="1" applyFont="1" applyFill="1" applyBorder="1" applyAlignment="1">
      <alignment horizontal="center" vertical="center" wrapText="1"/>
    </xf>
    <xf numFmtId="49" fontId="44" fillId="2" borderId="11" xfId="0" applyNumberFormat="1" applyFont="1" applyFill="1" applyBorder="1" applyAlignment="1">
      <alignment horizontal="center" vertical="center" wrapText="1"/>
    </xf>
    <xf numFmtId="49" fontId="44" fillId="2" borderId="12" xfId="0" applyNumberFormat="1" applyFont="1" applyFill="1" applyBorder="1" applyAlignment="1">
      <alignment horizontal="center" vertical="center" wrapText="1"/>
    </xf>
    <xf numFmtId="49" fontId="44" fillId="2" borderId="13" xfId="0" applyNumberFormat="1" applyFont="1" applyFill="1" applyBorder="1" applyAlignment="1">
      <alignment horizontal="center" vertical="center" wrapText="1"/>
    </xf>
    <xf numFmtId="49" fontId="44" fillId="11" borderId="11" xfId="0" applyNumberFormat="1" applyFont="1" applyFill="1" applyBorder="1" applyAlignment="1">
      <alignment horizontal="center" vertical="center" wrapText="1"/>
    </xf>
    <xf numFmtId="49" fontId="44" fillId="11" borderId="12" xfId="0" applyNumberFormat="1" applyFont="1" applyFill="1" applyBorder="1" applyAlignment="1">
      <alignment horizontal="center" vertical="center" wrapText="1"/>
    </xf>
    <xf numFmtId="49" fontId="44" fillId="11" borderId="13" xfId="0" applyNumberFormat="1" applyFont="1" applyFill="1" applyBorder="1" applyAlignment="1">
      <alignment horizontal="center" vertical="center" wrapText="1"/>
    </xf>
    <xf numFmtId="49" fontId="44" fillId="9" borderId="11" xfId="0" applyNumberFormat="1" applyFont="1" applyFill="1" applyBorder="1" applyAlignment="1">
      <alignment horizontal="center" vertical="center" wrapText="1"/>
    </xf>
    <xf numFmtId="49" fontId="44" fillId="9" borderId="12" xfId="0" applyNumberFormat="1" applyFont="1" applyFill="1" applyBorder="1" applyAlignment="1">
      <alignment horizontal="center" vertical="center" wrapText="1"/>
    </xf>
    <xf numFmtId="49" fontId="44" fillId="9" borderId="13" xfId="0" applyNumberFormat="1" applyFont="1" applyFill="1" applyBorder="1" applyAlignment="1">
      <alignment horizontal="center" vertical="center" wrapText="1"/>
    </xf>
    <xf numFmtId="49" fontId="44" fillId="10" borderId="3" xfId="0" applyNumberFormat="1" applyFont="1" applyFill="1" applyBorder="1" applyAlignment="1">
      <alignment horizontal="center" vertical="center" wrapText="1"/>
    </xf>
    <xf numFmtId="0" fontId="44" fillId="10" borderId="3" xfId="0" applyFont="1" applyFill="1" applyBorder="1" applyAlignment="1">
      <alignment horizontal="center" vertical="center" wrapText="1"/>
    </xf>
    <xf numFmtId="49" fontId="44" fillId="10" borderId="15" xfId="0" applyNumberFormat="1" applyFont="1" applyFill="1" applyBorder="1" applyAlignment="1">
      <alignment horizontal="center" vertical="center" wrapText="1"/>
    </xf>
    <xf numFmtId="49" fontId="44" fillId="2" borderId="14" xfId="0" applyNumberFormat="1" applyFont="1" applyFill="1" applyBorder="1" applyAlignment="1">
      <alignment horizontal="center" vertical="center" wrapText="1"/>
    </xf>
    <xf numFmtId="49" fontId="44" fillId="2" borderId="15" xfId="0" applyNumberFormat="1" applyFont="1" applyFill="1" applyBorder="1" applyAlignment="1">
      <alignment horizontal="center" vertical="center" wrapText="1"/>
    </xf>
    <xf numFmtId="49" fontId="44" fillId="2" borderId="16" xfId="0" applyNumberFormat="1" applyFont="1" applyFill="1" applyBorder="1" applyAlignment="1">
      <alignment horizontal="center" vertical="center" wrapText="1"/>
    </xf>
    <xf numFmtId="0" fontId="44" fillId="2" borderId="11" xfId="0" applyFont="1" applyFill="1" applyBorder="1" applyAlignment="1">
      <alignment horizontal="center" vertical="center" wrapText="1"/>
    </xf>
    <xf numFmtId="0" fontId="44" fillId="2" borderId="12" xfId="0" applyFont="1" applyFill="1" applyBorder="1" applyAlignment="1">
      <alignment horizontal="center" vertical="center" wrapText="1"/>
    </xf>
    <xf numFmtId="0" fontId="44" fillId="2" borderId="13" xfId="0" applyFont="1" applyFill="1" applyBorder="1" applyAlignment="1">
      <alignment horizontal="center" vertical="center" wrapText="1"/>
    </xf>
    <xf numFmtId="0" fontId="6" fillId="2" borderId="24"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25" xfId="0" applyFont="1" applyFill="1" applyBorder="1" applyAlignment="1">
      <alignment horizontal="center" vertical="center"/>
    </xf>
    <xf numFmtId="0" fontId="19" fillId="3" borderId="32" xfId="2" applyFont="1" applyFill="1" applyBorder="1" applyAlignment="1" applyProtection="1">
      <alignment horizontal="center" vertical="center" wrapText="1"/>
    </xf>
    <xf numFmtId="0" fontId="19" fillId="3" borderId="33" xfId="2" applyFont="1" applyFill="1" applyBorder="1" applyAlignment="1" applyProtection="1">
      <alignment horizontal="center" vertical="center" wrapText="1"/>
    </xf>
    <xf numFmtId="0" fontId="23" fillId="6" borderId="14" xfId="0" applyFont="1" applyFill="1" applyBorder="1" applyAlignment="1">
      <alignment horizontal="center" vertical="center" textRotation="90" wrapText="1"/>
    </xf>
    <xf numFmtId="0" fontId="23" fillId="6" borderId="15" xfId="0" applyFont="1" applyFill="1" applyBorder="1" applyAlignment="1">
      <alignment horizontal="center" vertical="center" textRotation="90" wrapText="1"/>
    </xf>
    <xf numFmtId="0" fontId="23" fillId="6" borderId="16" xfId="0" applyFont="1" applyFill="1" applyBorder="1" applyAlignment="1">
      <alignment horizontal="center" vertical="center" textRotation="90" wrapText="1"/>
    </xf>
    <xf numFmtId="0" fontId="19" fillId="2" borderId="37" xfId="2" applyFont="1" applyFill="1" applyBorder="1" applyAlignment="1" applyProtection="1">
      <alignment horizontal="center" vertical="center" wrapText="1"/>
    </xf>
    <xf numFmtId="0" fontId="19" fillId="2" borderId="83" xfId="2" applyFont="1" applyFill="1" applyBorder="1" applyAlignment="1" applyProtection="1">
      <alignment horizontal="center" vertical="center" wrapText="1"/>
    </xf>
    <xf numFmtId="0" fontId="19" fillId="2" borderId="38" xfId="2" applyFont="1" applyFill="1" applyBorder="1" applyAlignment="1" applyProtection="1">
      <alignment horizontal="center" vertical="center" wrapText="1"/>
    </xf>
    <xf numFmtId="0" fontId="19" fillId="2" borderId="39" xfId="2" applyFont="1" applyFill="1" applyBorder="1" applyAlignment="1" applyProtection="1">
      <alignment horizontal="center" vertical="center" wrapText="1"/>
    </xf>
    <xf numFmtId="0" fontId="19" fillId="2" borderId="40" xfId="2" applyFont="1" applyFill="1" applyBorder="1" applyAlignment="1" applyProtection="1">
      <alignment horizontal="center" vertical="center" wrapText="1"/>
    </xf>
    <xf numFmtId="0" fontId="19" fillId="2" borderId="42" xfId="2" applyFont="1" applyFill="1" applyBorder="1" applyAlignment="1" applyProtection="1">
      <alignment horizontal="center" vertical="center" wrapText="1"/>
    </xf>
    <xf numFmtId="0" fontId="19" fillId="2" borderId="41" xfId="2" applyFont="1" applyFill="1" applyBorder="1" applyAlignment="1" applyProtection="1">
      <alignment horizontal="center" vertical="center" wrapText="1"/>
    </xf>
    <xf numFmtId="0" fontId="19" fillId="2" borderId="43" xfId="2" applyFont="1" applyFill="1" applyBorder="1" applyAlignment="1" applyProtection="1">
      <alignment horizontal="center" vertical="center" wrapText="1"/>
    </xf>
    <xf numFmtId="9" fontId="41" fillId="0" borderId="87" xfId="0" applyNumberFormat="1" applyFont="1" applyBorder="1" applyAlignment="1" applyProtection="1">
      <alignment horizontal="center" vertical="center"/>
      <protection hidden="1"/>
    </xf>
    <xf numFmtId="9" fontId="41" fillId="0" borderId="88" xfId="0" applyNumberFormat="1" applyFont="1" applyBorder="1" applyAlignment="1" applyProtection="1">
      <alignment horizontal="center" vertical="center"/>
      <protection hidden="1"/>
    </xf>
    <xf numFmtId="9" fontId="28" fillId="7" borderId="84" xfId="1" applyFont="1" applyFill="1" applyBorder="1" applyAlignment="1" applyProtection="1">
      <alignment horizontal="center" vertical="center"/>
      <protection hidden="1"/>
    </xf>
    <xf numFmtId="9" fontId="28" fillId="7" borderId="85" xfId="1" applyFont="1" applyFill="1" applyBorder="1" applyAlignment="1" applyProtection="1">
      <alignment horizontal="center" vertical="center"/>
      <protection hidden="1"/>
    </xf>
    <xf numFmtId="9" fontId="28" fillId="7" borderId="86" xfId="1" applyFont="1" applyFill="1" applyBorder="1" applyAlignment="1" applyProtection="1">
      <alignment horizontal="center" vertical="center"/>
      <protection hidden="1"/>
    </xf>
    <xf numFmtId="0" fontId="27" fillId="9" borderId="14" xfId="0" applyFont="1" applyFill="1" applyBorder="1" applyAlignment="1">
      <alignment horizontal="center" vertical="center" textRotation="90"/>
    </xf>
    <xf numFmtId="0" fontId="27" fillId="9" borderId="15" xfId="0" applyFont="1" applyFill="1" applyBorder="1" applyAlignment="1">
      <alignment horizontal="center" vertical="center" textRotation="90"/>
    </xf>
    <xf numFmtId="0" fontId="27" fillId="9" borderId="16" xfId="0" applyFont="1" applyFill="1" applyBorder="1" applyAlignment="1">
      <alignment horizontal="center" vertical="center" textRotation="90"/>
    </xf>
    <xf numFmtId="9" fontId="41" fillId="4" borderId="87" xfId="0" applyNumberFormat="1" applyFont="1" applyFill="1" applyBorder="1" applyAlignment="1" applyProtection="1">
      <alignment horizontal="center" vertical="center"/>
      <protection hidden="1"/>
    </xf>
    <xf numFmtId="9" fontId="41" fillId="4" borderId="88" xfId="0" applyNumberFormat="1" applyFont="1" applyFill="1" applyBorder="1" applyAlignment="1" applyProtection="1">
      <alignment horizontal="center" vertical="center"/>
      <protection hidden="1"/>
    </xf>
    <xf numFmtId="9" fontId="41" fillId="4" borderId="89" xfId="0" applyNumberFormat="1" applyFont="1" applyFill="1" applyBorder="1" applyAlignment="1" applyProtection="1">
      <alignment horizontal="center" vertical="center"/>
      <protection hidden="1"/>
    </xf>
    <xf numFmtId="0" fontId="27" fillId="11" borderId="15" xfId="0" applyFont="1" applyFill="1" applyBorder="1" applyAlignment="1">
      <alignment horizontal="center" vertical="center" textRotation="90"/>
    </xf>
    <xf numFmtId="0" fontId="27" fillId="2" borderId="14" xfId="0" applyFont="1" applyFill="1" applyBorder="1" applyAlignment="1">
      <alignment horizontal="center" vertical="center" textRotation="90"/>
    </xf>
    <xf numFmtId="0" fontId="27" fillId="2" borderId="15" xfId="0" applyFont="1" applyFill="1" applyBorder="1" applyAlignment="1">
      <alignment horizontal="center" vertical="center" textRotation="90"/>
    </xf>
    <xf numFmtId="0" fontId="27" fillId="2" borderId="16" xfId="0" applyFont="1" applyFill="1" applyBorder="1" applyAlignment="1">
      <alignment horizontal="center" vertical="center" textRotation="90"/>
    </xf>
    <xf numFmtId="9" fontId="41" fillId="0" borderId="89" xfId="0" applyNumberFormat="1" applyFont="1" applyBorder="1" applyAlignment="1" applyProtection="1">
      <alignment horizontal="center" vertical="center"/>
      <protection hidden="1"/>
    </xf>
    <xf numFmtId="0" fontId="27" fillId="10" borderId="14" xfId="0" applyFont="1" applyFill="1" applyBorder="1" applyAlignment="1">
      <alignment horizontal="center" vertical="center" textRotation="90"/>
    </xf>
    <xf numFmtId="0" fontId="27" fillId="10" borderId="15" xfId="0" applyFont="1" applyFill="1" applyBorder="1" applyAlignment="1">
      <alignment horizontal="center" vertical="center" textRotation="90"/>
    </xf>
    <xf numFmtId="0" fontId="57" fillId="0" borderId="24" xfId="0" applyFont="1" applyBorder="1" applyAlignment="1" applyProtection="1">
      <alignment horizontal="justify" vertical="center"/>
      <protection locked="0"/>
    </xf>
    <xf numFmtId="0" fontId="57" fillId="0" borderId="1" xfId="0" applyFont="1" applyBorder="1" applyAlignment="1" applyProtection="1">
      <alignment horizontal="justify" vertical="center"/>
      <protection locked="0"/>
    </xf>
    <xf numFmtId="0" fontId="57" fillId="0" borderId="25" xfId="0" applyFont="1" applyBorder="1" applyAlignment="1" applyProtection="1">
      <alignment horizontal="justify" vertical="center"/>
      <protection locked="0"/>
    </xf>
    <xf numFmtId="0" fontId="57" fillId="0" borderId="24" xfId="0" applyFont="1" applyBorder="1" applyAlignment="1" applyProtection="1">
      <alignment horizontal="justify" vertical="center" wrapText="1"/>
      <protection locked="0"/>
    </xf>
    <xf numFmtId="0" fontId="57" fillId="0" borderId="1"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0" fontId="52" fillId="12" borderId="0" xfId="0" applyFont="1" applyFill="1" applyBorder="1" applyAlignment="1">
      <alignment horizontal="center" vertical="center" wrapText="1"/>
    </xf>
    <xf numFmtId="0" fontId="58" fillId="0" borderId="24" xfId="0" applyFont="1" applyFill="1" applyBorder="1" applyAlignment="1" applyProtection="1">
      <alignment horizontal="justify" vertical="center" wrapText="1"/>
      <protection locked="0"/>
    </xf>
    <xf numFmtId="0" fontId="58" fillId="0" borderId="1" xfId="0" applyFont="1" applyFill="1" applyBorder="1" applyAlignment="1" applyProtection="1">
      <alignment horizontal="justify" vertical="center" wrapText="1"/>
      <protection locked="0"/>
    </xf>
    <xf numFmtId="0" fontId="58" fillId="0" borderId="25" xfId="0" applyFont="1" applyFill="1" applyBorder="1" applyAlignment="1" applyProtection="1">
      <alignment horizontal="justify" vertical="center" wrapText="1"/>
      <protection locked="0"/>
    </xf>
    <xf numFmtId="0" fontId="0" fillId="0" borderId="73" xfId="0" applyBorder="1" applyAlignment="1">
      <alignment horizontal="center"/>
    </xf>
    <xf numFmtId="0" fontId="0" fillId="0" borderId="1" xfId="0" applyBorder="1" applyAlignment="1">
      <alignment horizontal="center"/>
    </xf>
    <xf numFmtId="49" fontId="49" fillId="4" borderId="91" xfId="0" applyNumberFormat="1" applyFont="1" applyFill="1" applyBorder="1" applyAlignment="1">
      <alignment horizontal="left" vertical="center" wrapText="1"/>
    </xf>
    <xf numFmtId="49" fontId="49" fillId="4" borderId="3" xfId="0" applyNumberFormat="1" applyFont="1" applyFill="1" applyBorder="1" applyAlignment="1">
      <alignment horizontal="left" vertical="center" wrapText="1"/>
    </xf>
    <xf numFmtId="49" fontId="49" fillId="4" borderId="92" xfId="0" applyNumberFormat="1" applyFont="1" applyFill="1" applyBorder="1" applyAlignment="1">
      <alignment horizontal="left" vertical="center" wrapText="1"/>
    </xf>
    <xf numFmtId="49" fontId="49" fillId="4" borderId="4" xfId="0" applyNumberFormat="1" applyFont="1" applyFill="1" applyBorder="1" applyAlignment="1">
      <alignment horizontal="left" vertical="center" wrapText="1"/>
    </xf>
    <xf numFmtId="0" fontId="51" fillId="2" borderId="7" xfId="0" applyFont="1" applyFill="1" applyBorder="1" applyAlignment="1">
      <alignment horizontal="center" vertical="center" wrapText="1"/>
    </xf>
    <xf numFmtId="0" fontId="51" fillId="2" borderId="6" xfId="0" applyFont="1" applyFill="1" applyBorder="1" applyAlignment="1">
      <alignment horizontal="center" vertical="center" wrapText="1"/>
    </xf>
    <xf numFmtId="0" fontId="56" fillId="4" borderId="3" xfId="0" applyFont="1" applyFill="1" applyBorder="1" applyAlignment="1" applyProtection="1">
      <alignment horizontal="center" vertical="center"/>
      <protection locked="0"/>
    </xf>
    <xf numFmtId="164" fontId="56" fillId="4" borderId="22" xfId="0" applyNumberFormat="1" applyFont="1" applyFill="1" applyBorder="1" applyAlignment="1" applyProtection="1">
      <alignment horizontal="center" vertical="center"/>
      <protection locked="0"/>
    </xf>
    <xf numFmtId="164" fontId="56" fillId="4" borderId="23" xfId="0" applyNumberFormat="1" applyFont="1" applyFill="1" applyBorder="1" applyAlignment="1" applyProtection="1">
      <alignment horizontal="center" vertical="center"/>
      <protection locked="0"/>
    </xf>
    <xf numFmtId="164" fontId="56" fillId="4" borderId="9" xfId="0" applyNumberFormat="1" applyFont="1" applyFill="1" applyBorder="1" applyAlignment="1" applyProtection="1">
      <alignment horizontal="center" vertical="center"/>
      <protection locked="0"/>
    </xf>
    <xf numFmtId="0" fontId="52" fillId="2" borderId="24" xfId="0" applyFont="1" applyFill="1" applyBorder="1" applyAlignment="1">
      <alignment horizontal="center" vertical="center" wrapText="1"/>
    </xf>
    <xf numFmtId="0" fontId="52" fillId="2" borderId="1" xfId="0" applyFont="1" applyFill="1" applyBorder="1" applyAlignment="1">
      <alignment horizontal="center" vertical="center" wrapText="1"/>
    </xf>
    <xf numFmtId="0" fontId="52" fillId="2" borderId="25" xfId="0" applyFont="1" applyFill="1" applyBorder="1" applyAlignment="1">
      <alignment horizontal="center" vertical="center" wrapText="1"/>
    </xf>
    <xf numFmtId="0" fontId="9" fillId="2" borderId="27"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49" fontId="49" fillId="4" borderId="90" xfId="0" applyNumberFormat="1" applyFont="1" applyFill="1" applyBorder="1" applyAlignment="1">
      <alignment horizontal="left" vertical="center" wrapText="1"/>
    </xf>
    <xf numFmtId="49" fontId="49" fillId="4" borderId="2" xfId="0" applyNumberFormat="1" applyFont="1" applyFill="1" applyBorder="1" applyAlignment="1">
      <alignment horizontal="left" vertical="center" wrapText="1"/>
    </xf>
    <xf numFmtId="49" fontId="57" fillId="4" borderId="2" xfId="0" applyNumberFormat="1" applyFont="1" applyFill="1" applyBorder="1" applyAlignment="1" applyProtection="1">
      <alignment horizontal="justify" vertical="center" wrapText="1"/>
      <protection locked="0"/>
    </xf>
    <xf numFmtId="49" fontId="57" fillId="4" borderId="84" xfId="0" applyNumberFormat="1" applyFont="1" applyFill="1" applyBorder="1" applyAlignment="1" applyProtection="1">
      <alignment horizontal="justify" vertical="center" wrapText="1"/>
      <protection locked="0"/>
    </xf>
    <xf numFmtId="49" fontId="57" fillId="4" borderId="3" xfId="0" applyNumberFormat="1" applyFont="1" applyFill="1" applyBorder="1" applyAlignment="1" applyProtection="1">
      <alignment horizontal="justify" vertical="center" wrapText="1"/>
      <protection locked="0"/>
    </xf>
    <xf numFmtId="49" fontId="57" fillId="4" borderId="85" xfId="0" applyNumberFormat="1" applyFont="1" applyFill="1" applyBorder="1" applyAlignment="1" applyProtection="1">
      <alignment horizontal="justify" vertical="center" wrapText="1"/>
      <protection locked="0"/>
    </xf>
    <xf numFmtId="49" fontId="57" fillId="4" borderId="4" xfId="0" applyNumberFormat="1" applyFont="1" applyFill="1" applyBorder="1" applyAlignment="1" applyProtection="1">
      <alignment horizontal="justify" vertical="center" wrapText="1"/>
      <protection locked="0"/>
    </xf>
    <xf numFmtId="49" fontId="57" fillId="4" borderId="86" xfId="0" applyNumberFormat="1" applyFont="1" applyFill="1" applyBorder="1" applyAlignment="1" applyProtection="1">
      <alignment horizontal="justify" vertical="center" wrapText="1"/>
      <protection locked="0"/>
    </xf>
  </cellXfs>
  <cellStyles count="5">
    <cellStyle name="Normal" xfId="0" builtinId="0"/>
    <cellStyle name="Normal - Style1 2" xfId="3" xr:uid="{00000000-0005-0000-0000-000001000000}"/>
    <cellStyle name="Normal 2" xfId="2" xr:uid="{00000000-0005-0000-0000-000002000000}"/>
    <cellStyle name="Normal 2 2" xfId="4" xr:uid="{00000000-0005-0000-0000-000003000000}"/>
    <cellStyle name="Porcentaje" xfId="1" builtinId="5"/>
  </cellStyles>
  <dxfs count="20">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1050132</xdr:colOff>
      <xdr:row>0</xdr:row>
      <xdr:rowOff>66818</xdr:rowOff>
    </xdr:from>
    <xdr:to>
      <xdr:col>7</xdr:col>
      <xdr:colOff>726282</xdr:colOff>
      <xdr:row>11</xdr:row>
      <xdr:rowOff>47624</xdr:rowOff>
    </xdr:to>
    <xdr:pic>
      <xdr:nvPicPr>
        <xdr:cNvPr id="2" name="Imagen 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7169945" y="66818"/>
          <a:ext cx="3676650" cy="23382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281667</xdr:colOff>
      <xdr:row>7</xdr:row>
      <xdr:rowOff>102768</xdr:rowOff>
    </xdr:from>
    <xdr:to>
      <xdr:col>6</xdr:col>
      <xdr:colOff>595313</xdr:colOff>
      <xdr:row>14</xdr:row>
      <xdr:rowOff>55289</xdr:rowOff>
    </xdr:to>
    <xdr:pic>
      <xdr:nvPicPr>
        <xdr:cNvPr id="4" name="Imagen 3">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4567917" y="2037534"/>
          <a:ext cx="3959935" cy="23486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cesar/HISTORICOS/2020-04-22_Formato_informe_sci_parametrizado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Definiciones"/>
      <sheetName val="Ambiente de Control"/>
      <sheetName val="Evaluación de riesgos"/>
      <sheetName val="Actividades de control"/>
      <sheetName val="Info y Comunicación"/>
      <sheetName val="Actividades de Monitoreo"/>
      <sheetName val="Analisis de Resultados"/>
      <sheetName val="Conclusiones"/>
      <sheetName val="Hoja1"/>
      <sheetName val="Hoja4"/>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zoomScale="117" zoomScaleNormal="117" workbookViewId="0">
      <selection activeCell="B6" sqref="B6:H7"/>
    </sheetView>
  </sheetViews>
  <sheetFormatPr baseColWidth="10" defaultColWidth="0" defaultRowHeight="13.8" zeroHeight="1" x14ac:dyDescent="0.3"/>
  <cols>
    <col min="1" max="1" width="3.88671875" style="45" customWidth="1"/>
    <col min="2" max="2" width="15.33203125" style="45" customWidth="1"/>
    <col min="3" max="3" width="17.33203125" style="45" customWidth="1"/>
    <col min="4" max="4" width="28.5546875" style="45" customWidth="1"/>
    <col min="5" max="5" width="12.88671875" style="45" customWidth="1"/>
    <col min="6" max="6" width="47.109375" style="45" customWidth="1"/>
    <col min="7" max="7" width="21.44140625" style="45" customWidth="1"/>
    <col min="8" max="8" width="6.5546875" style="45" customWidth="1"/>
    <col min="9" max="9" width="2.5546875" style="45" customWidth="1"/>
    <col min="10" max="16384" width="11.44140625" style="45" hidden="1"/>
  </cols>
  <sheetData>
    <row r="1" spans="2:8" ht="14.4" thickBot="1" x14ac:dyDescent="0.35"/>
    <row r="2" spans="2:8" ht="73.5" customHeight="1" x14ac:dyDescent="0.3">
      <c r="B2" s="197" t="s">
        <v>0</v>
      </c>
      <c r="C2" s="198"/>
      <c r="D2" s="198"/>
      <c r="E2" s="198"/>
      <c r="F2" s="198"/>
      <c r="G2" s="198"/>
      <c r="H2" s="199"/>
    </row>
    <row r="3" spans="2:8" ht="65.25" customHeight="1" x14ac:dyDescent="0.3">
      <c r="B3" s="200" t="s">
        <v>1</v>
      </c>
      <c r="C3" s="201"/>
      <c r="D3" s="201"/>
      <c r="E3" s="201"/>
      <c r="F3" s="201"/>
      <c r="G3" s="201"/>
      <c r="H3" s="202"/>
    </row>
    <row r="4" spans="2:8" ht="82.5" customHeight="1" x14ac:dyDescent="0.3">
      <c r="B4" s="200"/>
      <c r="C4" s="201"/>
      <c r="D4" s="201"/>
      <c r="E4" s="201"/>
      <c r="F4" s="201"/>
      <c r="G4" s="201"/>
      <c r="H4" s="202"/>
    </row>
    <row r="5" spans="2:8" ht="21.75" customHeight="1" x14ac:dyDescent="0.3">
      <c r="B5" s="203" t="s">
        <v>2</v>
      </c>
      <c r="C5" s="204"/>
      <c r="D5" s="204"/>
      <c r="E5" s="204"/>
      <c r="F5" s="204"/>
      <c r="G5" s="204"/>
      <c r="H5" s="205"/>
    </row>
    <row r="6" spans="2:8" ht="42" customHeight="1" x14ac:dyDescent="0.3">
      <c r="B6" s="206" t="s">
        <v>3</v>
      </c>
      <c r="C6" s="207"/>
      <c r="D6" s="207"/>
      <c r="E6" s="207"/>
      <c r="F6" s="207"/>
      <c r="G6" s="207"/>
      <c r="H6" s="208"/>
    </row>
    <row r="7" spans="2:8" ht="14.25" customHeight="1" x14ac:dyDescent="0.3">
      <c r="B7" s="206"/>
      <c r="C7" s="207"/>
      <c r="D7" s="207"/>
      <c r="E7" s="207"/>
      <c r="F7" s="207"/>
      <c r="G7" s="207"/>
      <c r="H7" s="208"/>
    </row>
    <row r="8" spans="2:8" ht="12.75" customHeight="1" thickBot="1" x14ac:dyDescent="0.35">
      <c r="B8" s="57"/>
      <c r="C8" s="51"/>
      <c r="D8" s="67"/>
      <c r="E8" s="68"/>
      <c r="F8" s="68"/>
      <c r="G8" s="65"/>
      <c r="H8" s="66"/>
    </row>
    <row r="9" spans="2:8" ht="21" customHeight="1" thickTop="1" x14ac:dyDescent="0.3">
      <c r="B9" s="57"/>
      <c r="C9" s="209" t="s">
        <v>4</v>
      </c>
      <c r="D9" s="210"/>
      <c r="E9" s="211" t="s">
        <v>5</v>
      </c>
      <c r="F9" s="212"/>
      <c r="G9" s="51"/>
      <c r="H9" s="59"/>
    </row>
    <row r="10" spans="2:8" ht="37.5" customHeight="1" x14ac:dyDescent="0.3">
      <c r="B10" s="57"/>
      <c r="C10" s="189" t="s">
        <v>6</v>
      </c>
      <c r="D10" s="190"/>
      <c r="E10" s="191" t="s">
        <v>7</v>
      </c>
      <c r="F10" s="192"/>
      <c r="G10" s="51"/>
      <c r="H10" s="59"/>
    </row>
    <row r="11" spans="2:8" ht="39.75" customHeight="1" x14ac:dyDescent="0.3">
      <c r="B11" s="57"/>
      <c r="C11" s="193" t="s">
        <v>8</v>
      </c>
      <c r="D11" s="194"/>
      <c r="E11" s="170" t="s">
        <v>9</v>
      </c>
      <c r="F11" s="171"/>
      <c r="G11" s="51"/>
      <c r="H11" s="59"/>
    </row>
    <row r="12" spans="2:8" ht="59.25" customHeight="1" x14ac:dyDescent="0.3">
      <c r="B12" s="57"/>
      <c r="C12" s="193" t="s">
        <v>10</v>
      </c>
      <c r="D12" s="194"/>
      <c r="E12" s="195" t="s">
        <v>11</v>
      </c>
      <c r="F12" s="196"/>
      <c r="G12" s="51"/>
      <c r="H12" s="59"/>
    </row>
    <row r="13" spans="2:8" ht="33.75" customHeight="1" x14ac:dyDescent="0.3">
      <c r="B13" s="57"/>
      <c r="C13" s="168" t="s">
        <v>12</v>
      </c>
      <c r="D13" s="169"/>
      <c r="E13" s="170" t="s">
        <v>13</v>
      </c>
      <c r="F13" s="171"/>
      <c r="G13" s="51"/>
      <c r="H13" s="59"/>
    </row>
    <row r="14" spans="2:8" ht="19.5" customHeight="1" x14ac:dyDescent="0.3">
      <c r="B14" s="57"/>
      <c r="C14" s="63"/>
      <c r="D14" s="63"/>
      <c r="E14" s="64"/>
      <c r="F14" s="64"/>
      <c r="G14" s="51"/>
      <c r="H14" s="59"/>
    </row>
    <row r="15" spans="2:8" ht="37.5" customHeight="1" thickBot="1" x14ac:dyDescent="0.35">
      <c r="B15" s="164" t="s">
        <v>14</v>
      </c>
      <c r="C15" s="165"/>
      <c r="D15" s="165"/>
      <c r="E15" s="165"/>
      <c r="F15" s="165"/>
      <c r="G15" s="165"/>
      <c r="H15" s="166"/>
    </row>
    <row r="16" spans="2:8" ht="27.75" customHeight="1" thickBot="1" x14ac:dyDescent="0.35">
      <c r="B16" s="57"/>
      <c r="C16" s="172" t="s">
        <v>15</v>
      </c>
      <c r="D16" s="173"/>
      <c r="E16" s="173" t="s">
        <v>16</v>
      </c>
      <c r="F16" s="184"/>
      <c r="G16" s="51"/>
      <c r="H16" s="59"/>
    </row>
    <row r="17" spans="2:8" ht="27.75" customHeight="1" x14ac:dyDescent="0.3">
      <c r="B17" s="57"/>
      <c r="C17" s="185" t="s">
        <v>17</v>
      </c>
      <c r="D17" s="186"/>
      <c r="E17" s="187" t="s">
        <v>18</v>
      </c>
      <c r="F17" s="188"/>
      <c r="G17" s="101"/>
      <c r="H17" s="59"/>
    </row>
    <row r="18" spans="2:8" ht="41.25" customHeight="1" x14ac:dyDescent="0.3">
      <c r="B18" s="57"/>
      <c r="C18" s="174" t="s">
        <v>19</v>
      </c>
      <c r="D18" s="175"/>
      <c r="E18" s="176" t="s">
        <v>20</v>
      </c>
      <c r="F18" s="177"/>
      <c r="G18" s="102"/>
      <c r="H18" s="59"/>
    </row>
    <row r="19" spans="2:8" ht="37.5" customHeight="1" thickBot="1" x14ac:dyDescent="0.35">
      <c r="B19" s="57"/>
      <c r="C19" s="178" t="s">
        <v>21</v>
      </c>
      <c r="D19" s="179"/>
      <c r="E19" s="180" t="s">
        <v>22</v>
      </c>
      <c r="F19" s="181"/>
      <c r="G19" s="102"/>
      <c r="H19" s="59"/>
    </row>
    <row r="20" spans="2:8" ht="11.25" customHeight="1" x14ac:dyDescent="0.3">
      <c r="B20" s="52"/>
      <c r="C20" s="53"/>
      <c r="D20" s="53"/>
      <c r="E20" s="53"/>
      <c r="F20" s="53"/>
      <c r="G20" s="53"/>
      <c r="H20" s="54"/>
    </row>
    <row r="21" spans="2:8" ht="14.25" customHeight="1" x14ac:dyDescent="0.3">
      <c r="B21" s="55"/>
      <c r="C21" s="182"/>
      <c r="D21" s="182"/>
      <c r="E21" s="183"/>
      <c r="F21" s="183"/>
      <c r="G21" s="183"/>
      <c r="H21" s="56"/>
    </row>
    <row r="22" spans="2:8" ht="36" customHeight="1" x14ac:dyDescent="0.3">
      <c r="B22" s="164" t="s">
        <v>23</v>
      </c>
      <c r="C22" s="165"/>
      <c r="D22" s="165"/>
      <c r="E22" s="165"/>
      <c r="F22" s="165"/>
      <c r="G22" s="165"/>
      <c r="H22" s="166"/>
    </row>
    <row r="23" spans="2:8" x14ac:dyDescent="0.3">
      <c r="B23" s="57"/>
      <c r="C23" s="58"/>
      <c r="D23" s="58"/>
      <c r="E23" s="167"/>
      <c r="F23" s="167"/>
      <c r="G23" s="51"/>
      <c r="H23" s="59"/>
    </row>
    <row r="24" spans="2:8" ht="14.4" thickBot="1" x14ac:dyDescent="0.35">
      <c r="B24" s="60"/>
      <c r="C24" s="61"/>
      <c r="D24" s="61"/>
      <c r="E24" s="61"/>
      <c r="F24" s="61"/>
      <c r="G24" s="61"/>
      <c r="H24" s="62"/>
    </row>
    <row r="25" spans="2:8" x14ac:dyDescent="0.3"/>
    <row r="26" spans="2:8" ht="29.25" customHeight="1" x14ac:dyDescent="0.3"/>
    <row r="27" spans="2:8" ht="26.25" customHeight="1" x14ac:dyDescent="0.3"/>
    <row r="28" spans="2:8" ht="43.5" customHeight="1" x14ac:dyDescent="0.3"/>
    <row r="29" spans="2:8" ht="53.25" customHeight="1" x14ac:dyDescent="0.3"/>
    <row r="30" spans="2:8" x14ac:dyDescent="0.3"/>
    <row r="31" spans="2:8" x14ac:dyDescent="0.3"/>
    <row r="32" spans="2:8" x14ac:dyDescent="0.3"/>
    <row r="33" x14ac:dyDescent="0.3"/>
    <row r="34" x14ac:dyDescent="0.3"/>
    <row r="35"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x14ac:dyDescent="0.3"/>
    <row r="52" x14ac:dyDescent="0.3"/>
    <row r="54" x14ac:dyDescent="0.3"/>
  </sheetData>
  <sheetProtection algorithmName="SHA-512" hashValue="t7sIeOvFa2bhukBsHVcHmO5gG9cifT20ZR8W/o5PL1FLs7w8K+KkEm6wLVbMVfYFM8W9luBRuNKu+qdhAWPM7w==" saltValue="H/shNuEdnFDauevCofk8Sw==" spinCount="100000" sheet="1" objects="1" scenarios="1"/>
  <mergeCells count="27">
    <mergeCell ref="B2:H2"/>
    <mergeCell ref="B3:H4"/>
    <mergeCell ref="B5:H5"/>
    <mergeCell ref="B6:H7"/>
    <mergeCell ref="C9:D9"/>
    <mergeCell ref="E9:F9"/>
    <mergeCell ref="C10:D10"/>
    <mergeCell ref="E10:F10"/>
    <mergeCell ref="C11:D11"/>
    <mergeCell ref="E11:F11"/>
    <mergeCell ref="C12:D12"/>
    <mergeCell ref="E12:F12"/>
    <mergeCell ref="B22:H22"/>
    <mergeCell ref="E23:F23"/>
    <mergeCell ref="C13:D13"/>
    <mergeCell ref="E13:F13"/>
    <mergeCell ref="C16:D16"/>
    <mergeCell ref="C18:D18"/>
    <mergeCell ref="E18:F18"/>
    <mergeCell ref="C19:D19"/>
    <mergeCell ref="E19:F19"/>
    <mergeCell ref="C21:D21"/>
    <mergeCell ref="E21:G21"/>
    <mergeCell ref="B15:H15"/>
    <mergeCell ref="E16:F16"/>
    <mergeCell ref="C17:D17"/>
    <mergeCell ref="E17:F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59"/>
  <sheetViews>
    <sheetView showGridLines="0" tabSelected="1" topLeftCell="B22" zoomScale="80" zoomScaleNormal="80" workbookViewId="0">
      <selection activeCell="H26" sqref="H26"/>
    </sheetView>
  </sheetViews>
  <sheetFormatPr baseColWidth="10" defaultColWidth="11.44140625" defaultRowHeight="13.8" x14ac:dyDescent="0.25"/>
  <cols>
    <col min="1" max="1" width="3" style="47" hidden="1" customWidth="1"/>
    <col min="2" max="2" width="9.44140625" style="47" customWidth="1"/>
    <col min="3" max="3" width="25.5546875" style="47" customWidth="1"/>
    <col min="4" max="4" width="46.5546875" style="47" customWidth="1"/>
    <col min="5" max="5" width="10.109375" style="70" customWidth="1"/>
    <col min="6" max="6" width="44.5546875" style="70" customWidth="1"/>
    <col min="7" max="7" width="15.44140625" style="47" customWidth="1"/>
    <col min="8" max="9" width="43" style="47" customWidth="1"/>
    <col min="10" max="12" width="11.44140625" style="75" customWidth="1"/>
    <col min="13" max="24" width="11.44140625" style="47" customWidth="1"/>
    <col min="25" max="16384" width="11.44140625" style="47"/>
  </cols>
  <sheetData>
    <row r="1" spans="1:32" x14ac:dyDescent="0.25">
      <c r="B1" s="46"/>
      <c r="C1" s="46"/>
      <c r="D1" s="46"/>
      <c r="E1" s="69"/>
      <c r="F1" s="69"/>
      <c r="G1" s="46"/>
      <c r="H1" s="46"/>
      <c r="I1" s="46"/>
      <c r="J1" s="71"/>
      <c r="K1" s="71"/>
      <c r="L1" s="72"/>
      <c r="M1" s="46"/>
      <c r="N1" s="46"/>
      <c r="O1" s="46"/>
      <c r="P1" s="46"/>
      <c r="Q1" s="46"/>
      <c r="R1" s="46"/>
      <c r="S1" s="46"/>
      <c r="T1" s="46"/>
      <c r="U1" s="46"/>
      <c r="V1" s="46"/>
      <c r="W1" s="46"/>
      <c r="X1" s="46"/>
    </row>
    <row r="2" spans="1:32" x14ac:dyDescent="0.25">
      <c r="B2" s="46"/>
      <c r="C2" s="46"/>
      <c r="D2" s="46"/>
      <c r="E2" s="69"/>
      <c r="F2" s="69"/>
      <c r="G2" s="46"/>
      <c r="H2" s="46"/>
      <c r="I2" s="46"/>
      <c r="J2" s="71"/>
      <c r="K2" s="71"/>
      <c r="L2" s="72"/>
      <c r="M2" s="46"/>
      <c r="N2" s="46"/>
      <c r="O2" s="46"/>
      <c r="P2" s="46"/>
      <c r="Q2" s="46"/>
      <c r="R2" s="46"/>
      <c r="S2" s="46"/>
      <c r="T2" s="46"/>
      <c r="U2" s="46"/>
      <c r="V2" s="46"/>
      <c r="W2" s="46"/>
      <c r="X2" s="46"/>
    </row>
    <row r="3" spans="1:32" x14ac:dyDescent="0.25">
      <c r="B3" s="46"/>
      <c r="C3" s="46"/>
      <c r="D3" s="46"/>
      <c r="E3" s="69"/>
      <c r="F3" s="69"/>
      <c r="G3" s="46"/>
      <c r="H3" s="46"/>
      <c r="I3" s="46"/>
      <c r="J3" s="71"/>
      <c r="K3" s="71"/>
      <c r="L3" s="72"/>
      <c r="M3" s="46"/>
      <c r="N3" s="46"/>
      <c r="O3" s="46"/>
      <c r="P3" s="46"/>
      <c r="Q3" s="46"/>
      <c r="R3" s="46"/>
      <c r="S3" s="46"/>
      <c r="T3" s="46"/>
      <c r="U3" s="46"/>
      <c r="V3" s="46"/>
      <c r="W3" s="46"/>
      <c r="X3" s="46"/>
    </row>
    <row r="4" spans="1:32" x14ac:dyDescent="0.25">
      <c r="B4" s="46"/>
      <c r="C4" s="46"/>
      <c r="D4" s="46"/>
      <c r="E4" s="69"/>
      <c r="F4" s="69"/>
      <c r="G4" s="46"/>
      <c r="H4" s="46"/>
      <c r="I4" s="46"/>
      <c r="J4" s="71"/>
      <c r="K4" s="71"/>
      <c r="L4" s="72"/>
      <c r="M4" s="46"/>
      <c r="N4" s="46"/>
      <c r="O4" s="46"/>
      <c r="P4" s="46"/>
      <c r="Q4" s="46"/>
      <c r="R4" s="46"/>
      <c r="S4" s="46"/>
      <c r="T4" s="46"/>
      <c r="U4" s="46"/>
      <c r="V4" s="46"/>
      <c r="W4" s="46"/>
      <c r="X4" s="46"/>
    </row>
    <row r="5" spans="1:32" x14ac:dyDescent="0.25">
      <c r="B5" s="46"/>
      <c r="C5" s="46"/>
      <c r="D5" s="46"/>
      <c r="E5" s="69"/>
      <c r="F5" s="69"/>
      <c r="G5" s="46"/>
      <c r="H5" s="46"/>
      <c r="I5" s="46"/>
      <c r="J5" s="71"/>
      <c r="K5" s="71"/>
      <c r="L5" s="72"/>
      <c r="M5" s="46"/>
      <c r="N5" s="46"/>
      <c r="O5" s="46"/>
      <c r="P5" s="46"/>
      <c r="Q5" s="46"/>
      <c r="R5" s="46"/>
      <c r="S5" s="46"/>
      <c r="T5" s="46"/>
      <c r="U5" s="46"/>
      <c r="V5" s="46"/>
      <c r="W5" s="46"/>
      <c r="X5" s="46"/>
    </row>
    <row r="6" spans="1:32" x14ac:dyDescent="0.25">
      <c r="B6" s="46"/>
      <c r="C6" s="46"/>
      <c r="D6" s="46"/>
      <c r="E6" s="69"/>
      <c r="F6" s="69"/>
      <c r="G6" s="46"/>
      <c r="H6" s="46"/>
      <c r="I6" s="46"/>
      <c r="J6" s="71"/>
      <c r="K6" s="71"/>
      <c r="L6" s="72"/>
      <c r="M6" s="46"/>
      <c r="N6" s="46"/>
      <c r="O6" s="46"/>
      <c r="P6" s="46"/>
      <c r="Q6" s="46"/>
      <c r="R6" s="46"/>
      <c r="S6" s="46"/>
      <c r="T6" s="46"/>
      <c r="U6" s="46"/>
      <c r="V6" s="46"/>
      <c r="W6" s="46"/>
      <c r="X6" s="46"/>
    </row>
    <row r="7" spans="1:32" x14ac:dyDescent="0.25">
      <c r="B7" s="46"/>
      <c r="C7" s="46"/>
      <c r="D7" s="46"/>
      <c r="E7" s="69"/>
      <c r="F7" s="69"/>
      <c r="G7" s="46"/>
      <c r="H7" s="46"/>
      <c r="I7" s="46"/>
      <c r="J7" s="71"/>
      <c r="K7" s="71"/>
      <c r="L7" s="72"/>
      <c r="M7" s="46"/>
      <c r="N7" s="46"/>
      <c r="O7" s="46"/>
      <c r="P7" s="46"/>
      <c r="Q7" s="46"/>
      <c r="R7" s="46"/>
      <c r="S7" s="46"/>
      <c r="T7" s="46"/>
      <c r="U7" s="46"/>
      <c r="V7" s="46"/>
      <c r="W7" s="46"/>
      <c r="X7" s="46"/>
    </row>
    <row r="8" spans="1:32" x14ac:dyDescent="0.25">
      <c r="B8" s="46"/>
      <c r="C8" s="46"/>
      <c r="D8" s="46"/>
      <c r="E8" s="69"/>
      <c r="F8" s="69"/>
      <c r="G8" s="46"/>
      <c r="H8" s="46"/>
      <c r="I8" s="46"/>
      <c r="J8" s="71"/>
      <c r="K8" s="71"/>
      <c r="L8" s="72"/>
      <c r="M8" s="46"/>
      <c r="N8" s="46"/>
      <c r="O8" s="46"/>
      <c r="P8" s="46"/>
      <c r="Q8" s="46"/>
      <c r="R8" s="46"/>
      <c r="S8" s="46"/>
      <c r="T8" s="46"/>
      <c r="U8" s="46"/>
      <c r="V8" s="46"/>
      <c r="W8" s="46"/>
      <c r="X8" s="46"/>
    </row>
    <row r="9" spans="1:32" x14ac:dyDescent="0.25">
      <c r="B9" s="46"/>
      <c r="C9" s="46"/>
      <c r="D9" s="46"/>
      <c r="E9" s="69"/>
      <c r="F9" s="69"/>
      <c r="G9" s="46"/>
      <c r="H9" s="46"/>
      <c r="I9" s="46"/>
      <c r="J9" s="71"/>
      <c r="K9" s="71"/>
      <c r="L9" s="72"/>
      <c r="M9" s="46"/>
      <c r="N9" s="46"/>
      <c r="O9" s="46"/>
      <c r="P9" s="46"/>
      <c r="Q9" s="46"/>
      <c r="R9" s="46"/>
      <c r="S9" s="46"/>
      <c r="T9" s="46"/>
      <c r="U9" s="46"/>
      <c r="V9" s="46"/>
      <c r="W9" s="46"/>
      <c r="X9" s="46"/>
    </row>
    <row r="10" spans="1:32" x14ac:dyDescent="0.25">
      <c r="B10" s="46"/>
      <c r="C10" s="46"/>
      <c r="D10" s="46"/>
      <c r="E10" s="69"/>
      <c r="F10" s="69"/>
      <c r="G10" s="46"/>
      <c r="H10" s="46"/>
      <c r="I10" s="46"/>
      <c r="J10" s="71"/>
      <c r="K10" s="71"/>
      <c r="L10" s="72"/>
      <c r="M10" s="46"/>
      <c r="N10" s="46"/>
      <c r="O10" s="46"/>
      <c r="P10" s="46"/>
      <c r="Q10" s="46"/>
      <c r="R10" s="46"/>
      <c r="S10" s="46"/>
      <c r="T10" s="46"/>
      <c r="U10" s="46"/>
      <c r="V10" s="46"/>
      <c r="W10" s="46"/>
      <c r="X10" s="46"/>
    </row>
    <row r="11" spans="1:32" x14ac:dyDescent="0.25">
      <c r="B11" s="46"/>
      <c r="C11" s="46"/>
      <c r="D11" s="46"/>
      <c r="E11" s="69"/>
      <c r="F11" s="69"/>
      <c r="G11" s="46"/>
      <c r="H11" s="46"/>
      <c r="I11" s="46"/>
      <c r="J11" s="71"/>
      <c r="K11" s="71"/>
      <c r="L11" s="72"/>
      <c r="M11" s="46"/>
      <c r="N11" s="46"/>
      <c r="O11" s="46"/>
      <c r="P11" s="46"/>
      <c r="Q11" s="46"/>
      <c r="R11" s="46"/>
      <c r="S11" s="46"/>
      <c r="T11" s="46"/>
      <c r="U11" s="46"/>
      <c r="V11" s="46"/>
      <c r="W11" s="46"/>
      <c r="X11" s="46"/>
    </row>
    <row r="12" spans="1:32" x14ac:dyDescent="0.25">
      <c r="B12" s="46"/>
      <c r="C12" s="46"/>
      <c r="D12" s="46"/>
      <c r="E12" s="69"/>
      <c r="F12" s="69"/>
      <c r="G12" s="46"/>
      <c r="H12" s="46"/>
      <c r="I12" s="46"/>
      <c r="J12" s="71"/>
      <c r="K12" s="71"/>
      <c r="L12" s="72"/>
      <c r="M12" s="46"/>
      <c r="N12" s="46"/>
      <c r="O12" s="46"/>
      <c r="P12" s="46"/>
      <c r="Q12" s="46"/>
      <c r="R12" s="46"/>
      <c r="S12" s="46"/>
      <c r="T12" s="46"/>
      <c r="U12" s="46"/>
      <c r="V12" s="46"/>
      <c r="W12" s="46"/>
      <c r="X12" s="46"/>
    </row>
    <row r="13" spans="1:32" x14ac:dyDescent="0.25">
      <c r="B13" s="46"/>
      <c r="C13" s="46"/>
      <c r="D13" s="46"/>
      <c r="E13" s="69"/>
      <c r="F13" s="69"/>
      <c r="G13" s="46"/>
      <c r="H13" s="46"/>
      <c r="I13" s="46"/>
      <c r="J13" s="71"/>
      <c r="K13" s="71"/>
      <c r="L13" s="72"/>
      <c r="M13" s="46"/>
      <c r="N13" s="46"/>
      <c r="O13" s="46"/>
      <c r="P13" s="46"/>
      <c r="Q13" s="46"/>
      <c r="R13" s="46"/>
      <c r="S13" s="46"/>
      <c r="T13" s="46"/>
      <c r="U13" s="46"/>
      <c r="V13" s="46"/>
      <c r="W13" s="46"/>
      <c r="X13" s="46"/>
    </row>
    <row r="14" spans="1:32" s="49" customFormat="1" ht="49.5" customHeight="1" x14ac:dyDescent="0.3">
      <c r="B14" s="213" t="s">
        <v>24</v>
      </c>
      <c r="C14" s="213"/>
      <c r="D14" s="213"/>
      <c r="E14" s="213"/>
      <c r="F14" s="213"/>
      <c r="G14" s="213"/>
      <c r="H14" s="213"/>
      <c r="I14" s="213"/>
      <c r="J14" s="73"/>
      <c r="K14" s="73"/>
      <c r="L14" s="74"/>
      <c r="M14" s="48"/>
      <c r="N14" s="48"/>
      <c r="O14" s="48"/>
      <c r="P14" s="48"/>
      <c r="Q14" s="48"/>
      <c r="R14" s="48"/>
      <c r="S14" s="48"/>
      <c r="T14" s="48"/>
      <c r="U14" s="48"/>
      <c r="V14" s="48"/>
      <c r="W14" s="48"/>
      <c r="X14" s="48"/>
      <c r="Y14" s="48"/>
      <c r="Z14" s="48"/>
      <c r="AA14" s="48"/>
      <c r="AB14" s="48"/>
      <c r="AC14" s="48"/>
      <c r="AD14" s="48"/>
      <c r="AE14" s="48"/>
      <c r="AF14" s="48"/>
    </row>
    <row r="15" spans="1:32" s="49" customFormat="1" ht="123.75" customHeight="1" thickBot="1" x14ac:dyDescent="0.35">
      <c r="B15" s="77" t="s">
        <v>25</v>
      </c>
      <c r="C15" s="77" t="s">
        <v>6</v>
      </c>
      <c r="D15" s="78" t="s">
        <v>8</v>
      </c>
      <c r="E15" s="79" t="s">
        <v>26</v>
      </c>
      <c r="F15" s="79" t="s">
        <v>27</v>
      </c>
      <c r="G15" s="79" t="s">
        <v>28</v>
      </c>
      <c r="H15" s="80" t="s">
        <v>29</v>
      </c>
      <c r="I15" s="79" t="s">
        <v>30</v>
      </c>
      <c r="J15" s="73"/>
      <c r="K15" s="73"/>
      <c r="L15" s="74"/>
      <c r="M15" s="48"/>
      <c r="N15" s="48"/>
      <c r="O15" s="48"/>
      <c r="P15" s="48"/>
      <c r="Q15" s="48"/>
      <c r="R15" s="48"/>
      <c r="S15" s="48"/>
      <c r="T15" s="48"/>
      <c r="U15" s="48"/>
      <c r="V15" s="48"/>
      <c r="W15" s="48"/>
      <c r="X15" s="48"/>
      <c r="Y15" s="48"/>
      <c r="Z15" s="48"/>
      <c r="AA15" s="48"/>
      <c r="AB15" s="48"/>
      <c r="AC15" s="48"/>
      <c r="AD15" s="48"/>
      <c r="AE15" s="48"/>
      <c r="AF15" s="48"/>
    </row>
    <row r="16" spans="1:32" s="49" customFormat="1" ht="71.25" customHeight="1" x14ac:dyDescent="0.3">
      <c r="A16" s="103" t="str">
        <f>1&amp;E16</f>
        <v>1a</v>
      </c>
      <c r="B16" s="229" t="s">
        <v>31</v>
      </c>
      <c r="C16" s="239" t="s">
        <v>32</v>
      </c>
      <c r="D16" s="226" t="s">
        <v>33</v>
      </c>
      <c r="E16" s="81" t="s">
        <v>34</v>
      </c>
      <c r="F16" s="82" t="s">
        <v>35</v>
      </c>
      <c r="G16" s="112" t="s">
        <v>39</v>
      </c>
      <c r="H16" s="113" t="s">
        <v>191</v>
      </c>
      <c r="I16" s="104" t="str">
        <f>+IF(G16="Si","Mantenimiento del control",IF(G16="En proceso","Oportunidad de mejora","Deficiencia de control"))</f>
        <v>Mantenimiento del control</v>
      </c>
      <c r="J16" s="105">
        <f t="shared" ref="J16:J27" si="0">+IF(G16="Si",20,IF(G16="En proceso",10,0))</f>
        <v>20</v>
      </c>
      <c r="K16" s="105">
        <v>0.123</v>
      </c>
      <c r="L16" s="105">
        <f>+J16+K16</f>
        <v>20.123000000000001</v>
      </c>
    </row>
    <row r="17" spans="1:32" s="49" customFormat="1" ht="62.4" x14ac:dyDescent="0.3">
      <c r="A17" s="103" t="str">
        <f t="shared" ref="A17:A27" si="1">1&amp;E17</f>
        <v>1b</v>
      </c>
      <c r="B17" s="230"/>
      <c r="C17" s="240"/>
      <c r="D17" s="227"/>
      <c r="E17" s="83" t="s">
        <v>37</v>
      </c>
      <c r="F17" s="84" t="s">
        <v>38</v>
      </c>
      <c r="G17" s="114" t="s">
        <v>39</v>
      </c>
      <c r="H17" s="115" t="s">
        <v>192</v>
      </c>
      <c r="I17" s="106" t="str">
        <f t="shared" ref="I17:I59" si="2">+IF(G17="Si","Mantenimiento del control",IF(G17="En proceso","Oportunidad de mejora","Deficiencia de control"))</f>
        <v>Mantenimiento del control</v>
      </c>
      <c r="J17" s="107">
        <f t="shared" si="0"/>
        <v>20</v>
      </c>
      <c r="K17" s="105">
        <v>0.1234</v>
      </c>
      <c r="L17" s="105">
        <f t="shared" ref="L17:L59" si="3">+J17+K17</f>
        <v>20.1234</v>
      </c>
    </row>
    <row r="18" spans="1:32" s="49" customFormat="1" ht="82.2" customHeight="1" x14ac:dyDescent="0.3">
      <c r="A18" s="103" t="str">
        <f t="shared" si="1"/>
        <v>1c</v>
      </c>
      <c r="B18" s="230"/>
      <c r="C18" s="240"/>
      <c r="D18" s="227"/>
      <c r="E18" s="83" t="s">
        <v>40</v>
      </c>
      <c r="F18" s="85" t="s">
        <v>41</v>
      </c>
      <c r="G18" s="116" t="s">
        <v>39</v>
      </c>
      <c r="H18" s="117" t="s">
        <v>193</v>
      </c>
      <c r="I18" s="108" t="str">
        <f t="shared" si="2"/>
        <v>Mantenimiento del control</v>
      </c>
      <c r="J18" s="107">
        <f t="shared" si="0"/>
        <v>20</v>
      </c>
      <c r="K18" s="105">
        <v>0.12345</v>
      </c>
      <c r="L18" s="105">
        <f t="shared" si="3"/>
        <v>20.123449999999998</v>
      </c>
    </row>
    <row r="19" spans="1:32" s="49" customFormat="1" ht="65.400000000000006" customHeight="1" x14ac:dyDescent="0.3">
      <c r="A19" s="103" t="str">
        <f t="shared" si="1"/>
        <v>1d</v>
      </c>
      <c r="B19" s="230"/>
      <c r="C19" s="240"/>
      <c r="D19" s="227"/>
      <c r="E19" s="83" t="s">
        <v>42</v>
      </c>
      <c r="F19" s="85" t="s">
        <v>43</v>
      </c>
      <c r="G19" s="116" t="s">
        <v>39</v>
      </c>
      <c r="H19" s="117" t="s">
        <v>194</v>
      </c>
      <c r="I19" s="108" t="str">
        <f t="shared" si="2"/>
        <v>Mantenimiento del control</v>
      </c>
      <c r="J19" s="107">
        <f t="shared" si="0"/>
        <v>20</v>
      </c>
      <c r="K19" s="105">
        <v>0.123456</v>
      </c>
      <c r="L19" s="105">
        <f t="shared" si="3"/>
        <v>20.123456000000001</v>
      </c>
    </row>
    <row r="20" spans="1:32" s="49" customFormat="1" ht="75.599999999999994" customHeight="1" x14ac:dyDescent="0.3">
      <c r="A20" s="103" t="str">
        <f t="shared" si="1"/>
        <v>1e</v>
      </c>
      <c r="B20" s="230"/>
      <c r="C20" s="240"/>
      <c r="D20" s="227"/>
      <c r="E20" s="83" t="s">
        <v>44</v>
      </c>
      <c r="F20" s="85" t="s">
        <v>45</v>
      </c>
      <c r="G20" s="116" t="s">
        <v>39</v>
      </c>
      <c r="H20" s="117" t="s">
        <v>194</v>
      </c>
      <c r="I20" s="108" t="str">
        <f t="shared" si="2"/>
        <v>Mantenimiento del control</v>
      </c>
      <c r="J20" s="107">
        <f t="shared" si="0"/>
        <v>20</v>
      </c>
      <c r="K20" s="105">
        <v>0.12345678</v>
      </c>
      <c r="L20" s="105">
        <f t="shared" si="3"/>
        <v>20.123456780000001</v>
      </c>
    </row>
    <row r="21" spans="1:32" s="49" customFormat="1" ht="63.75" customHeight="1" x14ac:dyDescent="0.3">
      <c r="A21" s="103" t="str">
        <f t="shared" si="1"/>
        <v>1f</v>
      </c>
      <c r="B21" s="230"/>
      <c r="C21" s="240"/>
      <c r="D21" s="227"/>
      <c r="E21" s="83" t="s">
        <v>46</v>
      </c>
      <c r="F21" s="85" t="s">
        <v>47</v>
      </c>
      <c r="G21" s="116" t="s">
        <v>76</v>
      </c>
      <c r="H21" s="117" t="s">
        <v>195</v>
      </c>
      <c r="I21" s="108" t="str">
        <f t="shared" si="2"/>
        <v>Oportunidad de mejora</v>
      </c>
      <c r="J21" s="107">
        <f t="shared" si="0"/>
        <v>10</v>
      </c>
      <c r="K21" s="105">
        <v>0.123456789</v>
      </c>
      <c r="L21" s="105">
        <f t="shared" si="3"/>
        <v>10.123456789</v>
      </c>
    </row>
    <row r="22" spans="1:32" s="49" customFormat="1" ht="72.599999999999994" customHeight="1" x14ac:dyDescent="0.3">
      <c r="A22" s="103" t="str">
        <f t="shared" si="1"/>
        <v>1g</v>
      </c>
      <c r="B22" s="230"/>
      <c r="C22" s="240"/>
      <c r="D22" s="227"/>
      <c r="E22" s="83" t="s">
        <v>48</v>
      </c>
      <c r="F22" s="85" t="s">
        <v>49</v>
      </c>
      <c r="G22" s="116" t="s">
        <v>39</v>
      </c>
      <c r="H22" s="117" t="s">
        <v>225</v>
      </c>
      <c r="I22" s="108" t="str">
        <f t="shared" si="2"/>
        <v>Mantenimiento del control</v>
      </c>
      <c r="J22" s="107">
        <f t="shared" si="0"/>
        <v>20</v>
      </c>
      <c r="K22" s="105">
        <v>0.12345678910000001</v>
      </c>
      <c r="L22" s="105">
        <f t="shared" si="3"/>
        <v>20.1234567891</v>
      </c>
    </row>
    <row r="23" spans="1:32" s="49" customFormat="1" ht="62.25" customHeight="1" x14ac:dyDescent="0.3">
      <c r="A23" s="103" t="str">
        <f t="shared" si="1"/>
        <v>1h</v>
      </c>
      <c r="B23" s="230"/>
      <c r="C23" s="240"/>
      <c r="D23" s="227"/>
      <c r="E23" s="83" t="s">
        <v>50</v>
      </c>
      <c r="F23" s="85" t="s">
        <v>51</v>
      </c>
      <c r="G23" s="116" t="s">
        <v>76</v>
      </c>
      <c r="H23" s="117" t="s">
        <v>196</v>
      </c>
      <c r="I23" s="108" t="str">
        <f t="shared" si="2"/>
        <v>Oportunidad de mejora</v>
      </c>
      <c r="J23" s="107">
        <f t="shared" si="0"/>
        <v>10</v>
      </c>
      <c r="K23" s="105">
        <v>0.12345678911999999</v>
      </c>
      <c r="L23" s="105">
        <f t="shared" si="3"/>
        <v>10.12345678912</v>
      </c>
    </row>
    <row r="24" spans="1:32" s="49" customFormat="1" ht="57.75" customHeight="1" x14ac:dyDescent="0.3">
      <c r="A24" s="103" t="str">
        <f t="shared" si="1"/>
        <v>1i</v>
      </c>
      <c r="B24" s="230"/>
      <c r="C24" s="240"/>
      <c r="D24" s="227"/>
      <c r="E24" s="83" t="s">
        <v>52</v>
      </c>
      <c r="F24" s="85" t="s">
        <v>53</v>
      </c>
      <c r="G24" s="116" t="s">
        <v>76</v>
      </c>
      <c r="H24" s="117" t="s">
        <v>197</v>
      </c>
      <c r="I24" s="108" t="str">
        <f t="shared" si="2"/>
        <v>Oportunidad de mejora</v>
      </c>
      <c r="J24" s="107">
        <f t="shared" si="0"/>
        <v>10</v>
      </c>
      <c r="K24" s="105">
        <v>0.123456789123</v>
      </c>
      <c r="L24" s="105">
        <f t="shared" si="3"/>
        <v>10.123456789123001</v>
      </c>
    </row>
    <row r="25" spans="1:32" s="49" customFormat="1" ht="52.5" customHeight="1" x14ac:dyDescent="0.3">
      <c r="A25" s="103" t="str">
        <f t="shared" si="1"/>
        <v>1j</v>
      </c>
      <c r="B25" s="230"/>
      <c r="C25" s="240"/>
      <c r="D25" s="227"/>
      <c r="E25" s="83" t="s">
        <v>54</v>
      </c>
      <c r="F25" s="85" t="s">
        <v>55</v>
      </c>
      <c r="G25" s="116" t="s">
        <v>36</v>
      </c>
      <c r="H25" s="117" t="s">
        <v>226</v>
      </c>
      <c r="I25" s="108" t="str">
        <f t="shared" si="2"/>
        <v>Deficiencia de control</v>
      </c>
      <c r="J25" s="107">
        <f t="shared" si="0"/>
        <v>0</v>
      </c>
      <c r="K25" s="105">
        <v>0.1234567891234</v>
      </c>
      <c r="L25" s="105">
        <f t="shared" si="3"/>
        <v>0.1234567891234</v>
      </c>
    </row>
    <row r="26" spans="1:32" s="49" customFormat="1" ht="42" customHeight="1" x14ac:dyDescent="0.3">
      <c r="A26" s="103" t="str">
        <f t="shared" si="1"/>
        <v>1k</v>
      </c>
      <c r="B26" s="230"/>
      <c r="C26" s="240"/>
      <c r="D26" s="227"/>
      <c r="E26" s="83" t="s">
        <v>56</v>
      </c>
      <c r="F26" s="85" t="s">
        <v>57</v>
      </c>
      <c r="G26" s="116" t="s">
        <v>76</v>
      </c>
      <c r="H26" s="117" t="s">
        <v>198</v>
      </c>
      <c r="I26" s="108" t="str">
        <f t="shared" si="2"/>
        <v>Oportunidad de mejora</v>
      </c>
      <c r="J26" s="107">
        <f t="shared" si="0"/>
        <v>10</v>
      </c>
      <c r="K26" s="105">
        <v>0.12345678912345</v>
      </c>
      <c r="L26" s="105">
        <f t="shared" si="3"/>
        <v>10.12345678912345</v>
      </c>
    </row>
    <row r="27" spans="1:32" s="49" customFormat="1" ht="65.400000000000006" customHeight="1" thickBot="1" x14ac:dyDescent="0.35">
      <c r="A27" s="103" t="str">
        <f t="shared" si="1"/>
        <v>1l</v>
      </c>
      <c r="B27" s="231"/>
      <c r="C27" s="241"/>
      <c r="D27" s="228"/>
      <c r="E27" s="86" t="s">
        <v>58</v>
      </c>
      <c r="F27" s="87" t="s">
        <v>59</v>
      </c>
      <c r="G27" s="118" t="s">
        <v>39</v>
      </c>
      <c r="H27" s="119" t="s">
        <v>199</v>
      </c>
      <c r="I27" s="109" t="str">
        <f t="shared" si="2"/>
        <v>Mantenimiento del control</v>
      </c>
      <c r="J27" s="107">
        <f t="shared" si="0"/>
        <v>20</v>
      </c>
      <c r="K27" s="105">
        <v>0.12345678912345601</v>
      </c>
      <c r="L27" s="105">
        <f t="shared" si="3"/>
        <v>20.123456789123455</v>
      </c>
    </row>
    <row r="28" spans="1:32" s="49" customFormat="1" ht="58.2" customHeight="1" x14ac:dyDescent="0.3">
      <c r="A28" s="103" t="str">
        <f>2&amp;E28</f>
        <v>2a</v>
      </c>
      <c r="B28" s="232" t="s">
        <v>60</v>
      </c>
      <c r="C28" s="242" t="s">
        <v>61</v>
      </c>
      <c r="D28" s="235" t="s">
        <v>62</v>
      </c>
      <c r="E28" s="81" t="s">
        <v>34</v>
      </c>
      <c r="F28" s="82" t="s">
        <v>63</v>
      </c>
      <c r="G28" s="112" t="s">
        <v>76</v>
      </c>
      <c r="H28" s="113" t="s">
        <v>200</v>
      </c>
      <c r="I28" s="104" t="str">
        <f t="shared" si="2"/>
        <v>Oportunidad de mejora</v>
      </c>
      <c r="J28" s="105">
        <f>+IF(G28="Si",40,IF(G28="En proceso",30,20))</f>
        <v>30</v>
      </c>
      <c r="K28" s="105">
        <v>0.23</v>
      </c>
      <c r="L28" s="105">
        <f t="shared" si="3"/>
        <v>30.23</v>
      </c>
    </row>
    <row r="29" spans="1:32" s="49" customFormat="1" ht="67.2" customHeight="1" x14ac:dyDescent="0.3">
      <c r="A29" s="103" t="str">
        <f t="shared" ref="A29:A31" si="4">2&amp;E29</f>
        <v>2b</v>
      </c>
      <c r="B29" s="233"/>
      <c r="C29" s="243"/>
      <c r="D29" s="236"/>
      <c r="E29" s="83" t="s">
        <v>37</v>
      </c>
      <c r="F29" s="85" t="s">
        <v>64</v>
      </c>
      <c r="G29" s="116" t="s">
        <v>76</v>
      </c>
      <c r="H29" s="117" t="s">
        <v>201</v>
      </c>
      <c r="I29" s="108" t="str">
        <f t="shared" si="2"/>
        <v>Oportunidad de mejora</v>
      </c>
      <c r="J29" s="105">
        <f>+IF(G29="Si",40,IF(G29="En proceso",30,20))</f>
        <v>30</v>
      </c>
      <c r="K29" s="105">
        <v>0.23400000000000001</v>
      </c>
      <c r="L29" s="105">
        <f t="shared" si="3"/>
        <v>30.234000000000002</v>
      </c>
    </row>
    <row r="30" spans="1:32" s="49" customFormat="1" ht="57.6" customHeight="1" x14ac:dyDescent="0.3">
      <c r="A30" s="103" t="str">
        <f t="shared" si="4"/>
        <v>2c</v>
      </c>
      <c r="B30" s="233"/>
      <c r="C30" s="243"/>
      <c r="D30" s="236"/>
      <c r="E30" s="83" t="s">
        <v>40</v>
      </c>
      <c r="F30" s="85" t="s">
        <v>65</v>
      </c>
      <c r="G30" s="116" t="s">
        <v>76</v>
      </c>
      <c r="H30" s="117" t="s">
        <v>201</v>
      </c>
      <c r="I30" s="108" t="str">
        <f t="shared" si="2"/>
        <v>Oportunidad de mejora</v>
      </c>
      <c r="J30" s="105">
        <f>+IF(G30="Si",40,IF(G30="En proceso",30,20))</f>
        <v>30</v>
      </c>
      <c r="K30" s="105">
        <v>0.23449999999999999</v>
      </c>
      <c r="L30" s="105">
        <f t="shared" si="3"/>
        <v>30.234500000000001</v>
      </c>
    </row>
    <row r="31" spans="1:32" s="49" customFormat="1" ht="63" customHeight="1" thickBot="1" x14ac:dyDescent="0.35">
      <c r="A31" s="103" t="str">
        <f t="shared" si="4"/>
        <v>2d</v>
      </c>
      <c r="B31" s="234"/>
      <c r="C31" s="244"/>
      <c r="D31" s="237"/>
      <c r="E31" s="86" t="s">
        <v>42</v>
      </c>
      <c r="F31" s="87" t="s">
        <v>66</v>
      </c>
      <c r="G31" s="118" t="s">
        <v>76</v>
      </c>
      <c r="H31" s="117" t="s">
        <v>201</v>
      </c>
      <c r="I31" s="109" t="str">
        <f t="shared" si="2"/>
        <v>Oportunidad de mejora</v>
      </c>
      <c r="J31" s="105">
        <f>+IF(G31="Si",40,IF(G31="En proceso",30,20))</f>
        <v>30</v>
      </c>
      <c r="K31" s="105">
        <v>0.23455999999999999</v>
      </c>
      <c r="L31" s="105">
        <f t="shared" si="3"/>
        <v>30.234559999999998</v>
      </c>
    </row>
    <row r="32" spans="1:32" s="49" customFormat="1" ht="49.5" customHeight="1" x14ac:dyDescent="0.3">
      <c r="A32" s="103" t="str">
        <f>3&amp;E32</f>
        <v>3a</v>
      </c>
      <c r="B32" s="254" t="s">
        <v>67</v>
      </c>
      <c r="C32" s="254" t="s">
        <v>61</v>
      </c>
      <c r="D32" s="255" t="s">
        <v>68</v>
      </c>
      <c r="E32" s="88" t="s">
        <v>34</v>
      </c>
      <c r="F32" s="85" t="s">
        <v>69</v>
      </c>
      <c r="G32" s="116" t="s">
        <v>76</v>
      </c>
      <c r="H32" s="117" t="s">
        <v>201</v>
      </c>
      <c r="I32" s="108" t="str">
        <f t="shared" si="2"/>
        <v>Oportunidad de mejora</v>
      </c>
      <c r="J32" s="105">
        <f t="shared" ref="J32:J37" si="5">+IF(G32="Si",40,IF(G32="En proceso",30,20))</f>
        <v>30</v>
      </c>
      <c r="K32" s="110">
        <v>0.234567</v>
      </c>
      <c r="L32" s="105">
        <f t="shared" ref="L32:L37" si="6">+J32+K32</f>
        <v>30.234566999999998</v>
      </c>
      <c r="M32" s="48"/>
      <c r="N32" s="48"/>
      <c r="O32" s="48"/>
      <c r="P32" s="48"/>
      <c r="Q32" s="48"/>
      <c r="R32" s="48"/>
      <c r="S32" s="48"/>
      <c r="T32" s="48"/>
      <c r="U32" s="48"/>
      <c r="V32" s="48"/>
      <c r="W32" s="48"/>
      <c r="X32" s="48"/>
      <c r="Y32" s="48"/>
      <c r="Z32" s="48"/>
      <c r="AA32" s="48"/>
      <c r="AB32" s="48"/>
      <c r="AC32" s="48"/>
      <c r="AD32" s="48"/>
      <c r="AE32" s="48"/>
      <c r="AF32" s="48"/>
    </row>
    <row r="33" spans="1:32" s="49" customFormat="1" ht="49.5" customHeight="1" x14ac:dyDescent="0.3">
      <c r="A33" s="103" t="str">
        <f t="shared" ref="A33:A34" si="7">3&amp;E33</f>
        <v>3b</v>
      </c>
      <c r="B33" s="254"/>
      <c r="C33" s="254"/>
      <c r="D33" s="255"/>
      <c r="E33" s="88" t="s">
        <v>37</v>
      </c>
      <c r="F33" s="85" t="s">
        <v>70</v>
      </c>
      <c r="G33" s="116" t="s">
        <v>76</v>
      </c>
      <c r="H33" s="117" t="s">
        <v>201</v>
      </c>
      <c r="I33" s="108" t="str">
        <f t="shared" si="2"/>
        <v>Oportunidad de mejora</v>
      </c>
      <c r="J33" s="105">
        <f t="shared" si="5"/>
        <v>30</v>
      </c>
      <c r="K33" s="110">
        <v>0.23456779999999999</v>
      </c>
      <c r="L33" s="105">
        <f t="shared" si="6"/>
        <v>30.234567800000001</v>
      </c>
      <c r="M33" s="48"/>
      <c r="N33" s="48"/>
      <c r="O33" s="48"/>
      <c r="P33" s="48"/>
      <c r="Q33" s="48"/>
      <c r="R33" s="48"/>
      <c r="S33" s="48"/>
      <c r="T33" s="48"/>
      <c r="U33" s="48"/>
      <c r="V33" s="48"/>
      <c r="W33" s="48"/>
      <c r="X33" s="48"/>
      <c r="Y33" s="48"/>
      <c r="Z33" s="48"/>
      <c r="AA33" s="48"/>
      <c r="AB33" s="48"/>
      <c r="AC33" s="48"/>
      <c r="AD33" s="48"/>
      <c r="AE33" s="48"/>
      <c r="AF33" s="48"/>
    </row>
    <row r="34" spans="1:32" s="49" customFormat="1" ht="66" customHeight="1" thickBot="1" x14ac:dyDescent="0.35">
      <c r="A34" s="103" t="str">
        <f t="shared" si="7"/>
        <v>3c</v>
      </c>
      <c r="B34" s="254"/>
      <c r="C34" s="254"/>
      <c r="D34" s="255"/>
      <c r="E34" s="88" t="s">
        <v>40</v>
      </c>
      <c r="F34" s="85" t="s">
        <v>71</v>
      </c>
      <c r="G34" s="116" t="s">
        <v>76</v>
      </c>
      <c r="H34" s="117" t="s">
        <v>201</v>
      </c>
      <c r="I34" s="108" t="str">
        <f t="shared" si="2"/>
        <v>Oportunidad de mejora</v>
      </c>
      <c r="J34" s="105">
        <f t="shared" si="5"/>
        <v>30</v>
      </c>
      <c r="K34" s="110">
        <v>0.23456789</v>
      </c>
      <c r="L34" s="105">
        <f t="shared" si="6"/>
        <v>30.234567890000001</v>
      </c>
      <c r="M34" s="48"/>
      <c r="N34" s="48"/>
      <c r="O34" s="48"/>
      <c r="P34" s="48"/>
      <c r="Q34" s="48"/>
      <c r="R34" s="48"/>
      <c r="S34" s="48"/>
      <c r="T34" s="48"/>
      <c r="U34" s="48"/>
      <c r="V34" s="48"/>
      <c r="W34" s="48"/>
      <c r="X34" s="48"/>
      <c r="Y34" s="48"/>
      <c r="Z34" s="48"/>
      <c r="AA34" s="48"/>
      <c r="AB34" s="48"/>
      <c r="AC34" s="48"/>
      <c r="AD34" s="48"/>
      <c r="AE34" s="48"/>
      <c r="AF34" s="48"/>
    </row>
    <row r="35" spans="1:32" s="49" customFormat="1" ht="60.75" customHeight="1" x14ac:dyDescent="0.3">
      <c r="A35" s="103" t="str">
        <f>4&amp;E35</f>
        <v>4a</v>
      </c>
      <c r="B35" s="256" t="s">
        <v>72</v>
      </c>
      <c r="C35" s="243" t="s">
        <v>61</v>
      </c>
      <c r="D35" s="236" t="s">
        <v>73</v>
      </c>
      <c r="E35" s="81" t="s">
        <v>34</v>
      </c>
      <c r="F35" s="82" t="s">
        <v>74</v>
      </c>
      <c r="G35" s="112" t="s">
        <v>39</v>
      </c>
      <c r="H35" s="113" t="s">
        <v>202</v>
      </c>
      <c r="I35" s="104" t="str">
        <f t="shared" si="2"/>
        <v>Mantenimiento del control</v>
      </c>
      <c r="J35" s="105">
        <f t="shared" si="5"/>
        <v>40</v>
      </c>
      <c r="K35" s="110">
        <v>0.23456789119999999</v>
      </c>
      <c r="L35" s="105">
        <f t="shared" si="6"/>
        <v>40.234567891200001</v>
      </c>
      <c r="M35" s="48"/>
      <c r="N35" s="48"/>
      <c r="O35" s="48"/>
      <c r="P35" s="48"/>
      <c r="Q35" s="48"/>
    </row>
    <row r="36" spans="1:32" s="49" customFormat="1" ht="57.75" customHeight="1" x14ac:dyDescent="0.3">
      <c r="A36" s="103" t="str">
        <f t="shared" ref="A36:A37" si="8">4&amp;E36</f>
        <v>4b</v>
      </c>
      <c r="B36" s="256"/>
      <c r="C36" s="243"/>
      <c r="D36" s="236"/>
      <c r="E36" s="83" t="s">
        <v>37</v>
      </c>
      <c r="F36" s="85" t="s">
        <v>75</v>
      </c>
      <c r="G36" s="116" t="s">
        <v>39</v>
      </c>
      <c r="H36" s="117" t="s">
        <v>203</v>
      </c>
      <c r="I36" s="108" t="str">
        <f t="shared" si="2"/>
        <v>Mantenimiento del control</v>
      </c>
      <c r="J36" s="105">
        <f t="shared" si="5"/>
        <v>40</v>
      </c>
      <c r="K36" s="110">
        <v>0.23456789122999999</v>
      </c>
      <c r="L36" s="105">
        <f t="shared" si="6"/>
        <v>40.23456789123</v>
      </c>
      <c r="M36" s="48"/>
      <c r="N36" s="48"/>
      <c r="O36" s="48"/>
      <c r="P36" s="48"/>
      <c r="Q36" s="48"/>
    </row>
    <row r="37" spans="1:32" s="49" customFormat="1" ht="49.5" customHeight="1" thickBot="1" x14ac:dyDescent="0.35">
      <c r="A37" s="103" t="str">
        <f t="shared" si="8"/>
        <v>4c</v>
      </c>
      <c r="B37" s="256"/>
      <c r="C37" s="243"/>
      <c r="D37" s="236"/>
      <c r="E37" s="83" t="s">
        <v>40</v>
      </c>
      <c r="F37" s="85" t="s">
        <v>77</v>
      </c>
      <c r="G37" s="116" t="s">
        <v>39</v>
      </c>
      <c r="H37" s="117" t="s">
        <v>204</v>
      </c>
      <c r="I37" s="108" t="str">
        <f t="shared" si="2"/>
        <v>Mantenimiento del control</v>
      </c>
      <c r="J37" s="105">
        <f t="shared" si="5"/>
        <v>40</v>
      </c>
      <c r="K37" s="110">
        <v>0.23456789123399999</v>
      </c>
      <c r="L37" s="105">
        <f t="shared" si="6"/>
        <v>40.234567891234001</v>
      </c>
      <c r="M37" s="48"/>
      <c r="N37" s="48"/>
      <c r="O37" s="48"/>
      <c r="P37" s="48"/>
      <c r="Q37" s="48"/>
    </row>
    <row r="38" spans="1:32" s="49" customFormat="1" ht="85.5" customHeight="1" thickBot="1" x14ac:dyDescent="0.35">
      <c r="A38" s="103" t="str">
        <f>5&amp;E38</f>
        <v>5a</v>
      </c>
      <c r="B38" s="257" t="s">
        <v>78</v>
      </c>
      <c r="C38" s="245" t="s">
        <v>79</v>
      </c>
      <c r="D38" s="260" t="s">
        <v>80</v>
      </c>
      <c r="E38" s="81" t="s">
        <v>34</v>
      </c>
      <c r="F38" s="89" t="s">
        <v>81</v>
      </c>
      <c r="G38" s="120" t="s">
        <v>76</v>
      </c>
      <c r="H38" s="121" t="s">
        <v>205</v>
      </c>
      <c r="I38" s="111" t="str">
        <f t="shared" si="2"/>
        <v>Oportunidad de mejora</v>
      </c>
      <c r="J38" s="105">
        <f>+IF(G38="Si",60,IF(G38="En proceso",50,40))</f>
        <v>50</v>
      </c>
      <c r="K38" s="105">
        <v>0.31</v>
      </c>
      <c r="L38" s="105">
        <f t="shared" si="3"/>
        <v>50.31</v>
      </c>
    </row>
    <row r="39" spans="1:32" s="49" customFormat="1" ht="63" thickBot="1" x14ac:dyDescent="0.35">
      <c r="A39" s="103" t="str">
        <f t="shared" ref="A39:A42" si="9">5&amp;E39</f>
        <v>5b</v>
      </c>
      <c r="B39" s="258"/>
      <c r="C39" s="246"/>
      <c r="D39" s="261"/>
      <c r="E39" s="83" t="s">
        <v>37</v>
      </c>
      <c r="F39" s="85" t="s">
        <v>82</v>
      </c>
      <c r="G39" s="116" t="s">
        <v>76</v>
      </c>
      <c r="H39" s="121" t="s">
        <v>205</v>
      </c>
      <c r="I39" s="108" t="str">
        <f t="shared" si="2"/>
        <v>Oportunidad de mejora</v>
      </c>
      <c r="J39" s="105">
        <f>+IF(G39="Si",60,IF(G39="En proceso",50,40))</f>
        <v>50</v>
      </c>
      <c r="K39" s="105">
        <v>0.32300000000000001</v>
      </c>
      <c r="L39" s="105">
        <f t="shared" si="3"/>
        <v>50.323</v>
      </c>
    </row>
    <row r="40" spans="1:32" s="49" customFormat="1" ht="47.4" thickBot="1" x14ac:dyDescent="0.35">
      <c r="A40" s="103" t="str">
        <f t="shared" si="9"/>
        <v>5c</v>
      </c>
      <c r="B40" s="258"/>
      <c r="C40" s="246"/>
      <c r="D40" s="261"/>
      <c r="E40" s="83" t="s">
        <v>40</v>
      </c>
      <c r="F40" s="85" t="s">
        <v>83</v>
      </c>
      <c r="G40" s="116" t="s">
        <v>76</v>
      </c>
      <c r="H40" s="121" t="s">
        <v>205</v>
      </c>
      <c r="I40" s="108" t="str">
        <f t="shared" si="2"/>
        <v>Oportunidad de mejora</v>
      </c>
      <c r="J40" s="105">
        <f>+IF(G40="Si",60,IF(G40="En proceso",50,40))</f>
        <v>50</v>
      </c>
      <c r="K40" s="105">
        <v>0.32400000000000001</v>
      </c>
      <c r="L40" s="105">
        <f t="shared" si="3"/>
        <v>50.323999999999998</v>
      </c>
    </row>
    <row r="41" spans="1:32" s="49" customFormat="1" ht="93.6" x14ac:dyDescent="0.3">
      <c r="A41" s="103" t="str">
        <f t="shared" si="9"/>
        <v>5d</v>
      </c>
      <c r="B41" s="258"/>
      <c r="C41" s="246"/>
      <c r="D41" s="261"/>
      <c r="E41" s="83" t="s">
        <v>42</v>
      </c>
      <c r="F41" s="85" t="s">
        <v>84</v>
      </c>
      <c r="G41" s="116" t="s">
        <v>76</v>
      </c>
      <c r="H41" s="121" t="s">
        <v>205</v>
      </c>
      <c r="I41" s="108" t="str">
        <f t="shared" si="2"/>
        <v>Oportunidad de mejora</v>
      </c>
      <c r="J41" s="105">
        <f>+IF(G41="Si",60,IF(G41="En proceso",50,40))</f>
        <v>50</v>
      </c>
      <c r="K41" s="105">
        <v>0.32500000000000001</v>
      </c>
      <c r="L41" s="105">
        <f t="shared" si="3"/>
        <v>50.325000000000003</v>
      </c>
    </row>
    <row r="42" spans="1:32" s="49" customFormat="1" ht="47.4" thickBot="1" x14ac:dyDescent="0.35">
      <c r="A42" s="103" t="str">
        <f t="shared" si="9"/>
        <v>5e</v>
      </c>
      <c r="B42" s="259"/>
      <c r="C42" s="247"/>
      <c r="D42" s="262"/>
      <c r="E42" s="86" t="s">
        <v>44</v>
      </c>
      <c r="F42" s="87" t="s">
        <v>85</v>
      </c>
      <c r="G42" s="118" t="s">
        <v>39</v>
      </c>
      <c r="H42" s="119" t="s">
        <v>206</v>
      </c>
      <c r="I42" s="109" t="str">
        <f t="shared" si="2"/>
        <v>Mantenimiento del control</v>
      </c>
      <c r="J42" s="105">
        <f>+IF(G42="Si",60,IF(G42="En proceso",50,40))</f>
        <v>60</v>
      </c>
      <c r="K42" s="105">
        <v>0.32600000000000001</v>
      </c>
      <c r="L42" s="105">
        <f t="shared" si="3"/>
        <v>60.326000000000001</v>
      </c>
    </row>
    <row r="43" spans="1:32" s="49" customFormat="1" ht="40.5" customHeight="1" x14ac:dyDescent="0.3">
      <c r="A43" s="103" t="str">
        <f>6&amp;E43</f>
        <v>6a</v>
      </c>
      <c r="B43" s="217" t="s">
        <v>86</v>
      </c>
      <c r="C43" s="248" t="s">
        <v>87</v>
      </c>
      <c r="D43" s="214" t="s">
        <v>88</v>
      </c>
      <c r="E43" s="81" t="s">
        <v>34</v>
      </c>
      <c r="F43" s="82" t="s">
        <v>89</v>
      </c>
      <c r="G43" s="112" t="s">
        <v>39</v>
      </c>
      <c r="H43" s="113" t="s">
        <v>207</v>
      </c>
      <c r="I43" s="104" t="str">
        <f t="shared" si="2"/>
        <v>Mantenimiento del control</v>
      </c>
      <c r="J43" s="105">
        <f t="shared" ref="J43:J49" si="10">+IF(G43="Si",80,IF(G43="En proceso",70,60))</f>
        <v>80</v>
      </c>
      <c r="K43" s="105">
        <v>0.41199999999999998</v>
      </c>
      <c r="L43" s="105">
        <f t="shared" si="3"/>
        <v>80.412000000000006</v>
      </c>
    </row>
    <row r="44" spans="1:32" s="49" customFormat="1" ht="76.8" customHeight="1" x14ac:dyDescent="0.3">
      <c r="A44" s="103" t="str">
        <f t="shared" ref="A44:A49" si="11">6&amp;E44</f>
        <v>6b</v>
      </c>
      <c r="B44" s="218"/>
      <c r="C44" s="249"/>
      <c r="D44" s="215"/>
      <c r="E44" s="83" t="s">
        <v>37</v>
      </c>
      <c r="F44" s="85" t="s">
        <v>90</v>
      </c>
      <c r="G44" s="116" t="s">
        <v>39</v>
      </c>
      <c r="H44" s="117" t="s">
        <v>208</v>
      </c>
      <c r="I44" s="108" t="str">
        <f t="shared" si="2"/>
        <v>Mantenimiento del control</v>
      </c>
      <c r="J44" s="105">
        <f t="shared" si="10"/>
        <v>80</v>
      </c>
      <c r="K44" s="105">
        <v>0.4123</v>
      </c>
      <c r="L44" s="105">
        <f t="shared" si="3"/>
        <v>80.412300000000002</v>
      </c>
    </row>
    <row r="45" spans="1:32" s="49" customFormat="1" ht="46.8" x14ac:dyDescent="0.3">
      <c r="A45" s="103" t="str">
        <f t="shared" si="11"/>
        <v>6c</v>
      </c>
      <c r="B45" s="218"/>
      <c r="C45" s="249"/>
      <c r="D45" s="215"/>
      <c r="E45" s="83" t="s">
        <v>40</v>
      </c>
      <c r="F45" s="85" t="s">
        <v>91</v>
      </c>
      <c r="G45" s="116" t="s">
        <v>39</v>
      </c>
      <c r="H45" s="117" t="s">
        <v>209</v>
      </c>
      <c r="I45" s="108" t="str">
        <f t="shared" si="2"/>
        <v>Mantenimiento del control</v>
      </c>
      <c r="J45" s="105">
        <f t="shared" si="10"/>
        <v>80</v>
      </c>
      <c r="K45" s="105">
        <v>0.41233999999999998</v>
      </c>
      <c r="L45" s="105">
        <f t="shared" si="3"/>
        <v>80.41234</v>
      </c>
    </row>
    <row r="46" spans="1:32" s="49" customFormat="1" ht="54" customHeight="1" x14ac:dyDescent="0.3">
      <c r="A46" s="103" t="str">
        <f t="shared" si="11"/>
        <v>6d</v>
      </c>
      <c r="B46" s="218"/>
      <c r="C46" s="249"/>
      <c r="D46" s="215"/>
      <c r="E46" s="83" t="s">
        <v>42</v>
      </c>
      <c r="F46" s="85" t="s">
        <v>92</v>
      </c>
      <c r="G46" s="116" t="s">
        <v>76</v>
      </c>
      <c r="H46" s="117" t="s">
        <v>210</v>
      </c>
      <c r="I46" s="108" t="str">
        <f t="shared" si="2"/>
        <v>Oportunidad de mejora</v>
      </c>
      <c r="J46" s="105">
        <f t="shared" si="10"/>
        <v>70</v>
      </c>
      <c r="K46" s="105">
        <v>0.41234500000000002</v>
      </c>
      <c r="L46" s="105">
        <f t="shared" si="3"/>
        <v>70.412345000000002</v>
      </c>
    </row>
    <row r="47" spans="1:32" s="49" customFormat="1" ht="62.4" x14ac:dyDescent="0.3">
      <c r="A47" s="103" t="str">
        <f t="shared" si="11"/>
        <v>6e</v>
      </c>
      <c r="B47" s="218"/>
      <c r="C47" s="249"/>
      <c r="D47" s="215"/>
      <c r="E47" s="83" t="s">
        <v>44</v>
      </c>
      <c r="F47" s="85" t="s">
        <v>93</v>
      </c>
      <c r="G47" s="116" t="s">
        <v>76</v>
      </c>
      <c r="H47" s="117" t="s">
        <v>211</v>
      </c>
      <c r="I47" s="108" t="str">
        <f t="shared" si="2"/>
        <v>Oportunidad de mejora</v>
      </c>
      <c r="J47" s="105">
        <f t="shared" si="10"/>
        <v>70</v>
      </c>
      <c r="K47" s="105">
        <v>0.41234559999999998</v>
      </c>
      <c r="L47" s="105">
        <f t="shared" si="3"/>
        <v>70.412345599999995</v>
      </c>
    </row>
    <row r="48" spans="1:32" s="49" customFormat="1" ht="46.8" x14ac:dyDescent="0.3">
      <c r="A48" s="103" t="str">
        <f t="shared" si="11"/>
        <v>6f</v>
      </c>
      <c r="B48" s="218"/>
      <c r="C48" s="249"/>
      <c r="D48" s="215"/>
      <c r="E48" s="83" t="s">
        <v>46</v>
      </c>
      <c r="F48" s="85" t="s">
        <v>94</v>
      </c>
      <c r="G48" s="116" t="s">
        <v>76</v>
      </c>
      <c r="H48" s="117" t="s">
        <v>211</v>
      </c>
      <c r="I48" s="108" t="str">
        <f t="shared" si="2"/>
        <v>Oportunidad de mejora</v>
      </c>
      <c r="J48" s="105">
        <f t="shared" si="10"/>
        <v>70</v>
      </c>
      <c r="K48" s="105">
        <v>0.41234567</v>
      </c>
      <c r="L48" s="105">
        <f t="shared" si="3"/>
        <v>70.412345669999993</v>
      </c>
    </row>
    <row r="49" spans="1:17" s="49" customFormat="1" ht="60" customHeight="1" thickBot="1" x14ac:dyDescent="0.35">
      <c r="A49" s="103" t="str">
        <f t="shared" si="11"/>
        <v>6g</v>
      </c>
      <c r="B49" s="219"/>
      <c r="C49" s="250"/>
      <c r="D49" s="216"/>
      <c r="E49" s="86" t="s">
        <v>48</v>
      </c>
      <c r="F49" s="87" t="s">
        <v>95</v>
      </c>
      <c r="G49" s="118" t="s">
        <v>76</v>
      </c>
      <c r="H49" s="117" t="s">
        <v>211</v>
      </c>
      <c r="I49" s="109" t="str">
        <f t="shared" si="2"/>
        <v>Oportunidad de mejora</v>
      </c>
      <c r="J49" s="105">
        <f t="shared" si="10"/>
        <v>70</v>
      </c>
      <c r="K49" s="105">
        <v>0.41234567799999999</v>
      </c>
      <c r="L49" s="105">
        <f t="shared" si="3"/>
        <v>70.412345677999994</v>
      </c>
    </row>
    <row r="50" spans="1:17" s="49" customFormat="1" ht="54.75" customHeight="1" x14ac:dyDescent="0.3">
      <c r="A50" s="103" t="str">
        <f>7&amp;E50</f>
        <v>7a</v>
      </c>
      <c r="B50" s="223" t="s">
        <v>96</v>
      </c>
      <c r="C50" s="251" t="s">
        <v>97</v>
      </c>
      <c r="D50" s="220" t="s">
        <v>98</v>
      </c>
      <c r="E50" s="81" t="s">
        <v>34</v>
      </c>
      <c r="F50" s="82" t="s">
        <v>99</v>
      </c>
      <c r="G50" s="112" t="s">
        <v>76</v>
      </c>
      <c r="H50" s="117" t="s">
        <v>211</v>
      </c>
      <c r="I50" s="104" t="str">
        <f t="shared" si="2"/>
        <v>Oportunidad de mejora</v>
      </c>
      <c r="J50" s="105">
        <f>+IF(G50="Si",120,IF(G50="En proceso",100,80))</f>
        <v>100</v>
      </c>
      <c r="K50" s="105">
        <v>0.85099999999999998</v>
      </c>
      <c r="L50" s="105">
        <f t="shared" si="3"/>
        <v>100.851</v>
      </c>
    </row>
    <row r="51" spans="1:17" s="49" customFormat="1" ht="99.6" customHeight="1" x14ac:dyDescent="0.3">
      <c r="A51" s="103" t="str">
        <f t="shared" ref="A51:A53" si="12">7&amp;E51</f>
        <v>7d</v>
      </c>
      <c r="B51" s="224"/>
      <c r="C51" s="252"/>
      <c r="D51" s="221"/>
      <c r="E51" s="83" t="s">
        <v>42</v>
      </c>
      <c r="F51" s="85" t="s">
        <v>100</v>
      </c>
      <c r="G51" s="116" t="s">
        <v>76</v>
      </c>
      <c r="H51" s="117" t="s">
        <v>212</v>
      </c>
      <c r="I51" s="108" t="str">
        <f t="shared" si="2"/>
        <v>Oportunidad de mejora</v>
      </c>
      <c r="J51" s="105">
        <f t="shared" ref="J51:J59" si="13">+IF(G51="Si",120,IF(G51="En proceso",100,80))</f>
        <v>100</v>
      </c>
      <c r="K51" s="105">
        <v>0.85119999999999996</v>
      </c>
      <c r="L51" s="105">
        <f t="shared" si="3"/>
        <v>100.85120000000001</v>
      </c>
    </row>
    <row r="52" spans="1:17" s="49" customFormat="1" ht="46.8" x14ac:dyDescent="0.3">
      <c r="A52" s="103" t="str">
        <f t="shared" si="12"/>
        <v>7f</v>
      </c>
      <c r="B52" s="224"/>
      <c r="C52" s="252"/>
      <c r="D52" s="221"/>
      <c r="E52" s="83" t="s">
        <v>46</v>
      </c>
      <c r="F52" s="85" t="s">
        <v>101</v>
      </c>
      <c r="G52" s="116" t="s">
        <v>39</v>
      </c>
      <c r="H52" s="117" t="s">
        <v>213</v>
      </c>
      <c r="I52" s="108" t="str">
        <f t="shared" si="2"/>
        <v>Mantenimiento del control</v>
      </c>
      <c r="J52" s="105">
        <f t="shared" si="13"/>
        <v>120</v>
      </c>
      <c r="K52" s="105">
        <v>0.85123000000000004</v>
      </c>
      <c r="L52" s="105">
        <f t="shared" si="3"/>
        <v>120.85123</v>
      </c>
    </row>
    <row r="53" spans="1:17" s="49" customFormat="1" ht="48.6" customHeight="1" thickBot="1" x14ac:dyDescent="0.35">
      <c r="A53" s="103" t="str">
        <f t="shared" si="12"/>
        <v>7g</v>
      </c>
      <c r="B53" s="225"/>
      <c r="C53" s="253"/>
      <c r="D53" s="222"/>
      <c r="E53" s="86" t="s">
        <v>48</v>
      </c>
      <c r="F53" s="87" t="s">
        <v>102</v>
      </c>
      <c r="G53" s="118" t="s">
        <v>39</v>
      </c>
      <c r="H53" s="117" t="s">
        <v>214</v>
      </c>
      <c r="I53" s="109" t="str">
        <f t="shared" si="2"/>
        <v>Mantenimiento del control</v>
      </c>
      <c r="J53" s="105">
        <f t="shared" si="13"/>
        <v>120</v>
      </c>
      <c r="K53" s="105">
        <v>0.85123400000000005</v>
      </c>
      <c r="L53" s="105">
        <f t="shared" si="3"/>
        <v>120.85123400000001</v>
      </c>
    </row>
    <row r="54" spans="1:17" s="49" customFormat="1" ht="102.75" customHeight="1" thickBot="1" x14ac:dyDescent="0.35">
      <c r="A54" s="103" t="str">
        <f>8&amp;E54</f>
        <v>8h</v>
      </c>
      <c r="B54" s="162" t="s">
        <v>103</v>
      </c>
      <c r="C54" s="163" t="s">
        <v>97</v>
      </c>
      <c r="D54" s="76" t="s">
        <v>104</v>
      </c>
      <c r="E54" s="81" t="s">
        <v>50</v>
      </c>
      <c r="F54" s="82" t="s">
        <v>105</v>
      </c>
      <c r="G54" s="112" t="s">
        <v>39</v>
      </c>
      <c r="H54" s="113" t="s">
        <v>215</v>
      </c>
      <c r="I54" s="104" t="str">
        <f t="shared" si="2"/>
        <v>Mantenimiento del control</v>
      </c>
      <c r="J54" s="105">
        <f t="shared" si="13"/>
        <v>120</v>
      </c>
      <c r="K54" s="105">
        <v>0.85123450000000001</v>
      </c>
      <c r="L54" s="105">
        <f t="shared" si="3"/>
        <v>120.8512345</v>
      </c>
    </row>
    <row r="55" spans="1:17" s="49" customFormat="1" ht="54.75" customHeight="1" thickBot="1" x14ac:dyDescent="0.35">
      <c r="A55" s="103" t="str">
        <f>9&amp;E55</f>
        <v>9a</v>
      </c>
      <c r="B55" s="223" t="s">
        <v>106</v>
      </c>
      <c r="C55" s="251" t="s">
        <v>97</v>
      </c>
      <c r="D55" s="220" t="s">
        <v>107</v>
      </c>
      <c r="E55" s="81" t="s">
        <v>34</v>
      </c>
      <c r="F55" s="82" t="s">
        <v>108</v>
      </c>
      <c r="G55" s="112" t="s">
        <v>76</v>
      </c>
      <c r="H55" s="121" t="s">
        <v>205</v>
      </c>
      <c r="I55" s="104" t="str">
        <f t="shared" si="2"/>
        <v>Oportunidad de mejora</v>
      </c>
      <c r="J55" s="105">
        <f t="shared" si="13"/>
        <v>100</v>
      </c>
      <c r="K55" s="110">
        <v>0.85123455999999997</v>
      </c>
      <c r="L55" s="105">
        <f t="shared" si="3"/>
        <v>100.85123455999999</v>
      </c>
      <c r="M55" s="48"/>
      <c r="N55" s="48"/>
      <c r="O55" s="48"/>
      <c r="P55" s="48"/>
      <c r="Q55" s="48"/>
    </row>
    <row r="56" spans="1:17" s="49" customFormat="1" ht="55.5" customHeight="1" thickBot="1" x14ac:dyDescent="0.35">
      <c r="A56" s="103" t="str">
        <f t="shared" ref="A56:A59" si="14">9&amp;E56</f>
        <v>9b</v>
      </c>
      <c r="B56" s="224"/>
      <c r="C56" s="252"/>
      <c r="D56" s="221"/>
      <c r="E56" s="83" t="s">
        <v>37</v>
      </c>
      <c r="F56" s="85" t="s">
        <v>109</v>
      </c>
      <c r="G56" s="116" t="s">
        <v>76</v>
      </c>
      <c r="H56" s="121" t="s">
        <v>205</v>
      </c>
      <c r="I56" s="108" t="str">
        <f t="shared" si="2"/>
        <v>Oportunidad de mejora</v>
      </c>
      <c r="J56" s="105">
        <f t="shared" si="13"/>
        <v>100</v>
      </c>
      <c r="K56" s="110">
        <v>0.851234567</v>
      </c>
      <c r="L56" s="105">
        <f t="shared" si="3"/>
        <v>100.85123456700001</v>
      </c>
      <c r="M56" s="48"/>
      <c r="N56" s="48"/>
      <c r="O56" s="48"/>
      <c r="P56" s="48"/>
      <c r="Q56" s="48"/>
    </row>
    <row r="57" spans="1:17" s="49" customFormat="1" ht="77.25" customHeight="1" thickBot="1" x14ac:dyDescent="0.35">
      <c r="A57" s="103" t="str">
        <f t="shared" si="14"/>
        <v>9c</v>
      </c>
      <c r="B57" s="224"/>
      <c r="C57" s="252"/>
      <c r="D57" s="221"/>
      <c r="E57" s="83" t="s">
        <v>40</v>
      </c>
      <c r="F57" s="85" t="s">
        <v>110</v>
      </c>
      <c r="G57" s="116" t="s">
        <v>76</v>
      </c>
      <c r="H57" s="121" t="s">
        <v>205</v>
      </c>
      <c r="I57" s="108" t="str">
        <f t="shared" si="2"/>
        <v>Oportunidad de mejora</v>
      </c>
      <c r="J57" s="105">
        <f t="shared" si="13"/>
        <v>100</v>
      </c>
      <c r="K57" s="110">
        <v>0.85123456779999995</v>
      </c>
      <c r="L57" s="105">
        <f t="shared" si="3"/>
        <v>100.85123456780001</v>
      </c>
      <c r="M57" s="48"/>
      <c r="N57" s="48"/>
      <c r="O57" s="48"/>
      <c r="P57" s="48"/>
      <c r="Q57" s="48"/>
    </row>
    <row r="58" spans="1:17" s="49" customFormat="1" ht="77.25" customHeight="1" thickBot="1" x14ac:dyDescent="0.35">
      <c r="A58" s="103" t="str">
        <f t="shared" si="14"/>
        <v>9d</v>
      </c>
      <c r="B58" s="224"/>
      <c r="C58" s="252"/>
      <c r="D58" s="221"/>
      <c r="E58" s="83" t="s">
        <v>42</v>
      </c>
      <c r="F58" s="85" t="s">
        <v>111</v>
      </c>
      <c r="G58" s="116" t="s">
        <v>76</v>
      </c>
      <c r="H58" s="121" t="s">
        <v>205</v>
      </c>
      <c r="I58" s="108" t="str">
        <f t="shared" si="2"/>
        <v>Oportunidad de mejora</v>
      </c>
      <c r="J58" s="105">
        <f t="shared" si="13"/>
        <v>100</v>
      </c>
      <c r="K58" s="110">
        <v>0.85123456788999996</v>
      </c>
      <c r="L58" s="105">
        <f t="shared" si="3"/>
        <v>100.85123456789</v>
      </c>
      <c r="M58" s="48"/>
      <c r="N58" s="48"/>
      <c r="O58" s="48"/>
      <c r="P58" s="48"/>
      <c r="Q58" s="48"/>
    </row>
    <row r="59" spans="1:17" s="49" customFormat="1" ht="77.25" customHeight="1" thickBot="1" x14ac:dyDescent="0.35">
      <c r="A59" s="103" t="str">
        <f t="shared" si="14"/>
        <v>9e</v>
      </c>
      <c r="B59" s="225"/>
      <c r="C59" s="252"/>
      <c r="D59" s="238"/>
      <c r="E59" s="86" t="s">
        <v>44</v>
      </c>
      <c r="F59" s="87" t="s">
        <v>112</v>
      </c>
      <c r="G59" s="118" t="s">
        <v>76</v>
      </c>
      <c r="H59" s="121" t="s">
        <v>205</v>
      </c>
      <c r="I59" s="109" t="str">
        <f t="shared" si="2"/>
        <v>Oportunidad de mejora</v>
      </c>
      <c r="J59" s="105">
        <f t="shared" si="13"/>
        <v>100</v>
      </c>
      <c r="K59" s="110">
        <v>0.85123456789100005</v>
      </c>
      <c r="L59" s="105">
        <f t="shared" si="3"/>
        <v>100.851234567891</v>
      </c>
      <c r="M59" s="48"/>
      <c r="N59" s="48"/>
      <c r="O59" s="48"/>
      <c r="P59" s="48"/>
      <c r="Q59" s="48"/>
    </row>
  </sheetData>
  <sheetProtection algorithmName="SHA-512" hashValue="3f8q67IhQ+195mCCu45JxrnKZ5NQYpYn/4DMJ1qNlLoW+1h5DdlwjNz0RDsqicEeH5OxPhf5j92R5BAeBl6Iaw==" saltValue="5vY6GrPfNxnRatmVvJafnA==" spinCount="100000" sheet="1" objects="1" scenarios="1" formatCells="0" formatColumns="0" formatRows="0"/>
  <mergeCells count="25">
    <mergeCell ref="D55:D59"/>
    <mergeCell ref="B55:B59"/>
    <mergeCell ref="C16:C27"/>
    <mergeCell ref="C28:C31"/>
    <mergeCell ref="C38:C42"/>
    <mergeCell ref="C43:C49"/>
    <mergeCell ref="C50:C53"/>
    <mergeCell ref="C32:C34"/>
    <mergeCell ref="C35:C37"/>
    <mergeCell ref="C55:C59"/>
    <mergeCell ref="D32:D34"/>
    <mergeCell ref="B32:B34"/>
    <mergeCell ref="B35:B37"/>
    <mergeCell ref="D35:D37"/>
    <mergeCell ref="B38:B42"/>
    <mergeCell ref="D38:D42"/>
    <mergeCell ref="B14:I14"/>
    <mergeCell ref="D43:D49"/>
    <mergeCell ref="B43:B49"/>
    <mergeCell ref="D50:D53"/>
    <mergeCell ref="B50:B53"/>
    <mergeCell ref="D16:D27"/>
    <mergeCell ref="B16:B27"/>
    <mergeCell ref="B28:B31"/>
    <mergeCell ref="D28:D31"/>
  </mergeCells>
  <phoneticPr fontId="40" type="noConversion"/>
  <dataValidations count="2">
    <dataValidation type="list" allowBlank="1" showInputMessage="1" showErrorMessage="1" sqref="G55:G59 G16:G53" xr:uid="{00000000-0002-0000-0100-000000000000}">
      <formula1>"Si, No, En proceso"</formula1>
    </dataValidation>
    <dataValidation type="list" allowBlank="1" showInputMessage="1" showErrorMessage="1" sqref="G54" xr:uid="{00000000-0002-0000-0100-000001000000}">
      <formula1>"Si, No"</formula1>
    </dataValidation>
  </dataValidation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74"/>
  <sheetViews>
    <sheetView zoomScale="80" zoomScaleNormal="80" workbookViewId="0">
      <selection activeCell="G26" sqref="G26"/>
    </sheetView>
  </sheetViews>
  <sheetFormatPr baseColWidth="10" defaultColWidth="11.44140625" defaultRowHeight="14.4" x14ac:dyDescent="0.3"/>
  <cols>
    <col min="3" max="3" width="22.88671875" customWidth="1"/>
    <col min="4" max="4" width="22.5546875" customWidth="1"/>
    <col min="5" max="5" width="53.44140625" customWidth="1"/>
    <col min="7" max="7" width="28.33203125" customWidth="1"/>
    <col min="8" max="8" width="4.88671875" customWidth="1"/>
    <col min="9" max="9" width="15.33203125" customWidth="1"/>
    <col min="10" max="10" width="22.44140625" customWidth="1"/>
    <col min="11" max="29" width="11.44140625" style="1"/>
  </cols>
  <sheetData>
    <row r="1" spans="1:11" x14ac:dyDescent="0.3">
      <c r="A1" s="1"/>
      <c r="B1" s="1"/>
      <c r="C1" s="1"/>
      <c r="D1" s="1"/>
      <c r="E1" s="1"/>
      <c r="F1" s="1"/>
      <c r="G1" s="1"/>
      <c r="H1" s="1"/>
      <c r="I1" s="1"/>
      <c r="J1" s="1"/>
    </row>
    <row r="2" spans="1:11" s="1" customFormat="1" x14ac:dyDescent="0.3"/>
    <row r="3" spans="1:11" s="1" customFormat="1" x14ac:dyDescent="0.3"/>
    <row r="4" spans="1:11" x14ac:dyDescent="0.3">
      <c r="A4" s="1"/>
      <c r="B4" s="1"/>
      <c r="C4" s="1"/>
      <c r="D4" s="1"/>
      <c r="E4" s="1"/>
      <c r="F4" s="1"/>
      <c r="G4" s="1"/>
      <c r="H4" s="1"/>
      <c r="I4" s="1"/>
      <c r="J4" s="1"/>
    </row>
    <row r="5" spans="1:11" x14ac:dyDescent="0.3">
      <c r="A5" s="1"/>
      <c r="B5" s="1"/>
      <c r="C5" s="1"/>
      <c r="D5" s="1"/>
      <c r="E5" s="1"/>
      <c r="F5" s="1"/>
      <c r="G5" s="1"/>
      <c r="H5" s="1"/>
      <c r="I5" s="1"/>
      <c r="J5" s="1"/>
    </row>
    <row r="6" spans="1:11" ht="15" thickBot="1" x14ac:dyDescent="0.35">
      <c r="A6" s="1"/>
      <c r="B6" s="1"/>
      <c r="C6" s="1"/>
      <c r="D6" s="1"/>
      <c r="E6" s="1"/>
      <c r="F6" s="1"/>
      <c r="G6" s="1"/>
      <c r="H6" s="1"/>
      <c r="I6" s="1"/>
      <c r="J6" s="1"/>
    </row>
    <row r="7" spans="1:11" ht="25.8" thickBot="1" x14ac:dyDescent="0.35">
      <c r="A7" s="1"/>
      <c r="B7" s="1"/>
      <c r="C7" s="263" t="s">
        <v>113</v>
      </c>
      <c r="D7" s="264"/>
      <c r="E7" s="264"/>
      <c r="F7" s="264"/>
      <c r="G7" s="264"/>
      <c r="H7" s="264"/>
      <c r="I7" s="264"/>
      <c r="J7" s="264"/>
      <c r="K7" s="265"/>
    </row>
    <row r="8" spans="1:11" s="1" customFormat="1" ht="15" thickBot="1" x14ac:dyDescent="0.35">
      <c r="C8" s="39"/>
      <c r="D8" s="39"/>
      <c r="E8" s="40"/>
      <c r="F8" s="40"/>
      <c r="G8" s="40"/>
      <c r="H8" s="40"/>
      <c r="I8" s="50"/>
      <c r="J8" s="40"/>
      <c r="K8" s="40"/>
    </row>
    <row r="9" spans="1:11" ht="21" thickBot="1" x14ac:dyDescent="0.35">
      <c r="A9" s="1"/>
      <c r="B9" s="1"/>
      <c r="C9" s="172" t="s">
        <v>15</v>
      </c>
      <c r="D9" s="173"/>
      <c r="E9" s="173" t="s">
        <v>16</v>
      </c>
      <c r="F9" s="184"/>
      <c r="G9" s="40"/>
      <c r="H9" s="40"/>
      <c r="I9" s="50"/>
      <c r="J9" s="40"/>
      <c r="K9" s="40"/>
    </row>
    <row r="10" spans="1:11" ht="54" customHeight="1" x14ac:dyDescent="0.3">
      <c r="A10" s="1"/>
      <c r="B10" s="1"/>
      <c r="C10" s="185" t="s">
        <v>17</v>
      </c>
      <c r="D10" s="186"/>
      <c r="E10" s="187" t="s">
        <v>18</v>
      </c>
      <c r="F10" s="188"/>
      <c r="G10" s="41"/>
      <c r="H10" s="42">
        <v>1</v>
      </c>
      <c r="I10" s="50"/>
      <c r="J10" s="40"/>
      <c r="K10" s="40"/>
    </row>
    <row r="11" spans="1:11" ht="46.5" customHeight="1" x14ac:dyDescent="0.3">
      <c r="A11" s="1"/>
      <c r="B11" s="1"/>
      <c r="C11" s="174" t="s">
        <v>19</v>
      </c>
      <c r="D11" s="175"/>
      <c r="E11" s="176" t="s">
        <v>114</v>
      </c>
      <c r="F11" s="177"/>
      <c r="G11" s="43" t="s">
        <v>115</v>
      </c>
      <c r="H11" s="42">
        <v>0.75</v>
      </c>
      <c r="I11" s="50"/>
      <c r="J11" s="40"/>
      <c r="K11" s="40"/>
    </row>
    <row r="12" spans="1:11" ht="70.5" customHeight="1" thickBot="1" x14ac:dyDescent="0.35">
      <c r="A12" s="1"/>
      <c r="B12" s="1"/>
      <c r="C12" s="178" t="s">
        <v>21</v>
      </c>
      <c r="D12" s="179"/>
      <c r="E12" s="180" t="s">
        <v>116</v>
      </c>
      <c r="F12" s="181"/>
      <c r="G12" s="44"/>
      <c r="H12" s="42">
        <v>0.25</v>
      </c>
      <c r="I12" s="50"/>
      <c r="J12" s="40"/>
      <c r="K12" s="40"/>
    </row>
    <row r="13" spans="1:11" s="1" customFormat="1" x14ac:dyDescent="0.3"/>
    <row r="14" spans="1:11" s="1" customFormat="1" x14ac:dyDescent="0.3"/>
    <row r="15" spans="1:11" s="1" customFormat="1" x14ac:dyDescent="0.3"/>
    <row r="16" spans="1:11" s="1" customFormat="1" ht="15" thickBot="1" x14ac:dyDescent="0.35"/>
    <row r="17" spans="1:10" x14ac:dyDescent="0.3">
      <c r="A17" s="1"/>
      <c r="B17" s="1"/>
      <c r="C17" s="271" t="s">
        <v>117</v>
      </c>
      <c r="D17" s="273" t="s">
        <v>118</v>
      </c>
      <c r="E17" s="274"/>
      <c r="F17" s="275" t="s">
        <v>119</v>
      </c>
      <c r="G17" s="277" t="s">
        <v>120</v>
      </c>
      <c r="H17" s="38"/>
      <c r="I17" s="266" t="s">
        <v>121</v>
      </c>
      <c r="J17" s="266" t="s">
        <v>122</v>
      </c>
    </row>
    <row r="18" spans="1:10" ht="36" customHeight="1" thickBot="1" x14ac:dyDescent="0.35">
      <c r="A18" s="1"/>
      <c r="B18" s="1"/>
      <c r="C18" s="272"/>
      <c r="D18" s="122" t="s">
        <v>123</v>
      </c>
      <c r="E18" s="123" t="s">
        <v>27</v>
      </c>
      <c r="F18" s="276"/>
      <c r="G18" s="278"/>
      <c r="H18" s="38"/>
      <c r="I18" s="267"/>
      <c r="J18" s="267"/>
    </row>
    <row r="19" spans="1:10" ht="65.25" customHeight="1" x14ac:dyDescent="0.3">
      <c r="A19" s="1"/>
      <c r="B19" s="1"/>
      <c r="C19" s="141">
        <v>1</v>
      </c>
      <c r="D19" s="268" t="s">
        <v>32</v>
      </c>
      <c r="E19" s="124" t="str">
        <f>+IFERROR(INDEX(Hoja1!$E$2:$E$45,MATCH('Análisis Resultados'!C19,Hoja1!$H$2:$H$45,0)),"")</f>
        <v>Procesos de desvinculación de servidores de acuerdo con lo previsto en la Constitución Política y las leyes</v>
      </c>
      <c r="F19" s="125" t="str">
        <f>+IFERROR(VLOOKUP(C19,Hoja1!$H$2:$I$45,2,0),"")</f>
        <v>No</v>
      </c>
      <c r="G19" s="126" t="str">
        <f>+IF(F19="Si","Existe requerimiento pero se requiere actividades  dirigidas a su mantenimiento dentro del marco de las lineas de defensa.",IF(F19="En proceso","Se encuentra en proceso, pero requiere continuar con acciones dirigidas a contar con dicho aspecto de control.","No se encuentra el aspecto  por lo tanto la entidad debera generar acciones dirigidas a que se cumpla con el requerimiento."))</f>
        <v>No se encuentra el aspecto  por lo tanto la entidad debera generar acciones dirigidas a que se cumpla con el requerimiento.</v>
      </c>
      <c r="H19" s="18"/>
      <c r="I19" s="142">
        <f>+IF(F19="Si",1,IF(F19="En proceso",0.5,0))</f>
        <v>0</v>
      </c>
      <c r="J19" s="281">
        <f>+AVERAGE(I19:I30)</f>
        <v>0.75</v>
      </c>
    </row>
    <row r="20" spans="1:10" ht="41.4" x14ac:dyDescent="0.3">
      <c r="A20" s="1"/>
      <c r="B20" s="1"/>
      <c r="C20" s="141">
        <v>2</v>
      </c>
      <c r="D20" s="269"/>
      <c r="E20" s="127" t="str">
        <f>+IFERROR(INDEX(Hoja1!$E$2:$E$45,MATCH('Análisis Resultados'!C20,Hoja1!$H$2:$H$45,0)),"")</f>
        <v>La documentación de sus procesos y procedimientos o bien una lista de actividades principales que permitan conocer el estado de su gestión</v>
      </c>
      <c r="F20" s="128" t="str">
        <f>+IFERROR(VLOOKUP(C20,Hoja1!$H$2:$I$45,2,0),"")</f>
        <v>En proceso</v>
      </c>
      <c r="G20" s="129" t="str">
        <f t="shared" ref="G20:G62" si="0">+IF(F20="Si","Existe requerimiento pero se requiere actividades  dirigidas a su mantenimiento dentro del marco de las lineas de defensa.",IF(F20="En proceso","Se encuentra en proceso, pero requiere continuar con acciones dirigidas a contar con dicho aspecto de control.","No se encuentra el aspecto  por lo tanto la entidad debera generar acciones dirigidas a que se cumpla con el requerimiento."))</f>
        <v>Se encuentra en proceso, pero requiere continuar con acciones dirigidas a contar con dicho aspecto de control.</v>
      </c>
      <c r="H20" s="18"/>
      <c r="I20" s="143">
        <f t="shared" ref="I20:I62" si="1">+IF(F20="Si",1,IF(F20="En proceso",0.5,0))</f>
        <v>0.5</v>
      </c>
      <c r="J20" s="282"/>
    </row>
    <row r="21" spans="1:10" ht="41.4" x14ac:dyDescent="0.3">
      <c r="A21" s="1"/>
      <c r="B21" s="1"/>
      <c r="C21" s="141">
        <v>3</v>
      </c>
      <c r="D21" s="269"/>
      <c r="E21" s="127" t="str">
        <f>+IFERROR(INDEX(Hoja1!$E$2:$E$45,MATCH('Análisis Resultados'!C21,Hoja1!$H$2:$H$45,0)),"")</f>
        <v>Procesos de inducción, capacitación y bienestar social para sus servidores públicos, de manera directa o en asociación con otras entidades municipales</v>
      </c>
      <c r="F21" s="128" t="str">
        <f>+IFERROR(VLOOKUP(C21,Hoja1!$H$2:$I$45,2,0),"")</f>
        <v>En proceso</v>
      </c>
      <c r="G21" s="129" t="str">
        <f t="shared" si="0"/>
        <v>Se encuentra en proceso, pero requiere continuar con acciones dirigidas a contar con dicho aspecto de control.</v>
      </c>
      <c r="H21" s="18"/>
      <c r="I21" s="143">
        <f t="shared" si="1"/>
        <v>0.5</v>
      </c>
      <c r="J21" s="282"/>
    </row>
    <row r="22" spans="1:10" ht="56.25" customHeight="1" x14ac:dyDescent="0.3">
      <c r="A22" s="1"/>
      <c r="B22" s="1"/>
      <c r="C22" s="141">
        <v>4</v>
      </c>
      <c r="D22" s="269"/>
      <c r="E22" s="127" t="str">
        <f>+IFERROR(INDEX(Hoja1!$E$2:$E$45,MATCH('Análisis Resultados'!C22,Hoja1!$H$2:$H$45,0)),"")</f>
        <v>Evaluación a los servidores públicos de acuerdo con el marco normativo que le rige</v>
      </c>
      <c r="F22" s="128" t="str">
        <f>+IFERROR(VLOOKUP(C22,Hoja1!$H$2:$I$45,2,0),"")</f>
        <v>En proceso</v>
      </c>
      <c r="G22" s="129" t="str">
        <f t="shared" si="0"/>
        <v>Se encuentra en proceso, pero requiere continuar con acciones dirigidas a contar con dicho aspecto de control.</v>
      </c>
      <c r="H22" s="18"/>
      <c r="I22" s="143">
        <f t="shared" si="1"/>
        <v>0.5</v>
      </c>
      <c r="J22" s="282"/>
    </row>
    <row r="23" spans="1:10" ht="30.6" x14ac:dyDescent="0.3">
      <c r="A23" s="1"/>
      <c r="B23" s="1"/>
      <c r="C23" s="141">
        <v>5</v>
      </c>
      <c r="D23" s="269"/>
      <c r="E23" s="127" t="str">
        <f>+IFERROR(INDEX(Hoja1!$E$2:$E$45,MATCH('Análisis Resultados'!C23,Hoja1!$H$2:$H$45,0)),"")</f>
        <v>Mecanismos de rendición de cuentas a la ciudadanía</v>
      </c>
      <c r="F23" s="128" t="str">
        <f>+IFERROR(VLOOKUP(C23,Hoja1!$H$2:$I$45,2,0),"")</f>
        <v>En proceso</v>
      </c>
      <c r="G23" s="129" t="str">
        <f t="shared" si="0"/>
        <v>Se encuentra en proceso, pero requiere continuar con acciones dirigidas a contar con dicho aspecto de control.</v>
      </c>
      <c r="H23" s="18"/>
      <c r="I23" s="143">
        <f t="shared" si="1"/>
        <v>0.5</v>
      </c>
      <c r="J23" s="282"/>
    </row>
    <row r="24" spans="1:10" ht="30.6" x14ac:dyDescent="0.3">
      <c r="A24" s="1"/>
      <c r="B24" s="1"/>
      <c r="C24" s="141">
        <v>6</v>
      </c>
      <c r="D24" s="269"/>
      <c r="E24" s="127" t="str">
        <f>+IFERROR(INDEX(Hoja1!$E$2:$E$45,MATCH('Análisis Resultados'!C24,Hoja1!$H$2:$H$45,0)),"")</f>
        <v>Documento interno o adopción del MECI actualizado</v>
      </c>
      <c r="F24" s="128" t="str">
        <f>+IFERROR(VLOOKUP(C24,Hoja1!$H$2:$I$45,2,0),"")</f>
        <v>Si</v>
      </c>
      <c r="G24" s="129" t="str">
        <f t="shared" si="0"/>
        <v>Existe requerimiento pero se requiere actividades  dirigidas a su mantenimiento dentro del marco de las lineas de defensa.</v>
      </c>
      <c r="H24" s="18"/>
      <c r="I24" s="143">
        <f t="shared" si="1"/>
        <v>1</v>
      </c>
      <c r="J24" s="282"/>
    </row>
    <row r="25" spans="1:10" ht="41.4" x14ac:dyDescent="0.3">
      <c r="A25" s="1"/>
      <c r="B25" s="1"/>
      <c r="C25" s="141">
        <v>7</v>
      </c>
      <c r="D25" s="269"/>
      <c r="E25" s="127" t="str">
        <f>+IFERROR(INDEX(Hoja1!$E$2:$E$45,MATCH('Análisis Resultados'!C25,Hoja1!$H$2:$H$45,0)),"")</f>
        <v>Un documento tal como un código de ética, integridad u otro que formalice los estándares de conducta, los principios institucionales o los valores del servicio público</v>
      </c>
      <c r="F25" s="128" t="str">
        <f>+IFERROR(VLOOKUP(C25,Hoja1!$H$2:$I$45,2,0),"")</f>
        <v>Si</v>
      </c>
      <c r="G25" s="129" t="str">
        <f t="shared" si="0"/>
        <v>Existe requerimiento pero se requiere actividades  dirigidas a su mantenimiento dentro del marco de las lineas de defensa.</v>
      </c>
      <c r="H25" s="18"/>
      <c r="I25" s="143">
        <f t="shared" si="1"/>
        <v>1</v>
      </c>
      <c r="J25" s="282"/>
    </row>
    <row r="26" spans="1:10" ht="41.4" x14ac:dyDescent="0.3">
      <c r="A26" s="1"/>
      <c r="B26" s="1"/>
      <c r="C26" s="141">
        <v>8</v>
      </c>
      <c r="D26" s="269"/>
      <c r="E26" s="127" t="str">
        <f>+IFERROR(INDEX(Hoja1!$E$2:$E$45,MATCH('Análisis Resultados'!C26,Hoja1!$H$2:$H$45,0)),"")</f>
        <v>Planes, programas y proyectos de acuerdo con las normas que rigen y atendiendo con su propósito fundamental institucional (misión)</v>
      </c>
      <c r="F26" s="128" t="str">
        <f>+IFERROR(VLOOKUP(C26,Hoja1!$H$2:$I$45,2,0),"")</f>
        <v>Si</v>
      </c>
      <c r="G26" s="129" t="str">
        <f t="shared" si="0"/>
        <v>Existe requerimiento pero se requiere actividades  dirigidas a su mantenimiento dentro del marco de las lineas de defensa.</v>
      </c>
      <c r="H26" s="18"/>
      <c r="I26" s="143">
        <f t="shared" si="1"/>
        <v>1</v>
      </c>
      <c r="J26" s="282"/>
    </row>
    <row r="27" spans="1:10" ht="30.6" x14ac:dyDescent="0.3">
      <c r="A27" s="1"/>
      <c r="B27" s="1"/>
      <c r="C27" s="141">
        <v>9</v>
      </c>
      <c r="D27" s="269"/>
      <c r="E27" s="127" t="str">
        <f>+IFERROR(INDEX(Hoja1!$E$2:$E$45,MATCH('Análisis Resultados'!C27,Hoja1!$H$2:$H$45,0)),"")</f>
        <v>Una estructura organizacional formalizada (organigrama)</v>
      </c>
      <c r="F27" s="128" t="str">
        <f>+IFERROR(VLOOKUP(C27,Hoja1!$H$2:$I$45,2,0),"")</f>
        <v>Si</v>
      </c>
      <c r="G27" s="129" t="str">
        <f t="shared" si="0"/>
        <v>Existe requerimiento pero se requiere actividades  dirigidas a su mantenimiento dentro del marco de las lineas de defensa.</v>
      </c>
      <c r="H27" s="18"/>
      <c r="I27" s="143">
        <f t="shared" si="1"/>
        <v>1</v>
      </c>
      <c r="J27" s="282"/>
    </row>
    <row r="28" spans="1:10" ht="30.6" x14ac:dyDescent="0.3">
      <c r="A28" s="1"/>
      <c r="B28" s="1"/>
      <c r="C28" s="141">
        <v>10</v>
      </c>
      <c r="D28" s="269"/>
      <c r="E28" s="127" t="str">
        <f>+IFERROR(INDEX(Hoja1!$E$2:$E$45,MATCH('Análisis Resultados'!C28,Hoja1!$H$2:$H$45,0)),"")</f>
        <v>Un manual de funciones que describa los empleos de la entidad</v>
      </c>
      <c r="F28" s="128" t="str">
        <f>+IFERROR(VLOOKUP(C28,Hoja1!$H$2:$I$45,2,0),"")</f>
        <v>Si</v>
      </c>
      <c r="G28" s="129" t="str">
        <f t="shared" si="0"/>
        <v>Existe requerimiento pero se requiere actividades  dirigidas a su mantenimiento dentro del marco de las lineas de defensa.</v>
      </c>
      <c r="H28" s="18"/>
      <c r="I28" s="143">
        <f t="shared" si="1"/>
        <v>1</v>
      </c>
      <c r="J28" s="282"/>
    </row>
    <row r="29" spans="1:10" ht="41.4" x14ac:dyDescent="0.3">
      <c r="A29" s="1"/>
      <c r="B29" s="1"/>
      <c r="C29" s="141">
        <v>11</v>
      </c>
      <c r="D29" s="269"/>
      <c r="E29" s="127" t="str">
        <f>+IFERROR(INDEX(Hoja1!$E$2:$E$45,MATCH('Análisis Resultados'!C29,Hoja1!$H$2:$H$45,0)),"")</f>
        <v>Vinculación de los servidores públicos de acuerdo con el marco normativo que les rige (carrera administrativa, libre nombramiento y remoción, entre otros)</v>
      </c>
      <c r="F29" s="128" t="str">
        <f>+IFERROR(VLOOKUP(C29,Hoja1!$H$2:$I$45,2,0),"")</f>
        <v>Si</v>
      </c>
      <c r="G29" s="129" t="str">
        <f>+IF(F29="Si","Existe requerimiento pero se requiere actividades  dirigidas a su mantenimiento dentro del marco de las lineas de defensa.",IF(F29="En proceso","Se encuentra en proceso, pero requiere continuar con acciones dirigidas a contar con dicho aspecto de control.","No se encuentra el aspecto  por lo tanto la entidad debera generar acciones dirigidas a que se cumpla con el requerimiento."))</f>
        <v>Existe requerimiento pero se requiere actividades  dirigidas a su mantenimiento dentro del marco de las lineas de defensa.</v>
      </c>
      <c r="H29" s="18"/>
      <c r="I29" s="143">
        <f t="shared" si="1"/>
        <v>1</v>
      </c>
      <c r="J29" s="282"/>
    </row>
    <row r="30" spans="1:10" ht="31.2" thickBot="1" x14ac:dyDescent="0.35">
      <c r="A30" s="1"/>
      <c r="B30" s="1"/>
      <c r="C30" s="141">
        <v>12</v>
      </c>
      <c r="D30" s="270"/>
      <c r="E30" s="130" t="str">
        <f>+IFERROR(INDEX(Hoja1!$E$2:$E$45,MATCH('Análisis Resultados'!C30,Hoja1!$H$2:$H$45,0)),"")</f>
        <v>Presentación oportuna de sus informes de gestión a las autoridades competentes</v>
      </c>
      <c r="F30" s="131" t="str">
        <f>+IFERROR(VLOOKUP(C30,Hoja1!$H$2:$I$45,2,0),"")</f>
        <v>Si</v>
      </c>
      <c r="G30" s="132" t="str">
        <f t="shared" si="0"/>
        <v>Existe requerimiento pero se requiere actividades  dirigidas a su mantenimiento dentro del marco de las lineas de defensa.</v>
      </c>
      <c r="H30" s="18"/>
      <c r="I30" s="144">
        <f t="shared" si="1"/>
        <v>1</v>
      </c>
      <c r="J30" s="283"/>
    </row>
    <row r="31" spans="1:10" ht="45" customHeight="1" x14ac:dyDescent="0.3">
      <c r="A31" s="1"/>
      <c r="B31" s="1"/>
      <c r="C31" s="141">
        <v>13</v>
      </c>
      <c r="D31" s="295" t="s">
        <v>61</v>
      </c>
      <c r="E31" s="124" t="str">
        <f>+IFERROR(INDEX(Hoja1!$E$2:$E$45,MATCH('Análisis Resultados'!C31,Hoja1!$H$2:$H$45,0)),"")</f>
        <v>La identificación de cambios en su entorno que pueden generar consecuencias negativas en su gestión</v>
      </c>
      <c r="F31" s="125" t="str">
        <f>+IFERROR(VLOOKUP(C31,Hoja1!$H$2:$I$45,2,0),"")</f>
        <v>En proceso</v>
      </c>
      <c r="G31" s="126" t="str">
        <f t="shared" si="0"/>
        <v>Se encuentra en proceso, pero requiere continuar con acciones dirigidas a contar con dicho aspecto de control.</v>
      </c>
      <c r="H31" s="18"/>
      <c r="I31" s="142">
        <f t="shared" si="1"/>
        <v>0.5</v>
      </c>
      <c r="J31" s="279">
        <f>+AVERAGE(I31:I40)</f>
        <v>0.65</v>
      </c>
    </row>
    <row r="32" spans="1:10" ht="57" customHeight="1" x14ac:dyDescent="0.3">
      <c r="A32" s="1"/>
      <c r="B32" s="1"/>
      <c r="C32" s="141">
        <v>14</v>
      </c>
      <c r="D32" s="296"/>
      <c r="E32" s="127" t="str">
        <f>+IFERROR(INDEX(Hoja1!$E$2:$E$45,MATCH('Análisis Resultados'!C32,Hoja1!$H$2:$H$45,0)),"")</f>
        <v>La identificación de aquellos problemas o aspectos que pueden afectar el cumplimiento de los planes de la entidad y en general su gestión institucional (riesgos)</v>
      </c>
      <c r="F32" s="128" t="str">
        <f>+IFERROR(VLOOKUP(C32,Hoja1!$H$2:$I$45,2,0),"")</f>
        <v>En proceso</v>
      </c>
      <c r="G32" s="129" t="str">
        <f t="shared" si="0"/>
        <v>Se encuentra en proceso, pero requiere continuar con acciones dirigidas a contar con dicho aspecto de control.</v>
      </c>
      <c r="H32" s="18"/>
      <c r="I32" s="143">
        <f t="shared" si="1"/>
        <v>0.5</v>
      </c>
      <c r="J32" s="280"/>
    </row>
    <row r="33" spans="1:10" ht="54" customHeight="1" x14ac:dyDescent="0.3">
      <c r="A33" s="1"/>
      <c r="B33" s="1"/>
      <c r="C33" s="141">
        <v>15</v>
      </c>
      <c r="D33" s="296"/>
      <c r="E33" s="127" t="str">
        <f>+IFERROR(INDEX(Hoja1!$E$2:$E$45,MATCH('Análisis Resultados'!C33,Hoja1!$H$2:$H$45,0)),"")</f>
        <v>La identificación  de los riesgos relacionados con posibles actos de corrupción en el ejercicio de sus funciones</v>
      </c>
      <c r="F33" s="128" t="str">
        <f>+IFERROR(VLOOKUP(C33,Hoja1!$H$2:$I$45,2,0),"")</f>
        <v>En proceso</v>
      </c>
      <c r="G33" s="129" t="str">
        <f t="shared" si="0"/>
        <v>Se encuentra en proceso, pero requiere continuar con acciones dirigidas a contar con dicho aspecto de control.</v>
      </c>
      <c r="H33" s="18"/>
      <c r="I33" s="143">
        <f t="shared" si="1"/>
        <v>0.5</v>
      </c>
      <c r="J33" s="280"/>
    </row>
    <row r="34" spans="1:10" ht="41.4" x14ac:dyDescent="0.3">
      <c r="A34" s="1"/>
      <c r="B34" s="1"/>
      <c r="C34" s="141">
        <v>16</v>
      </c>
      <c r="D34" s="296"/>
      <c r="E34" s="127" t="str">
        <f>+IFERROR(INDEX(Hoja1!$E$2:$E$45,MATCH('Análisis Resultados'!C34,Hoja1!$H$2:$H$45,0)),"")</f>
        <v>Si su capacidad e infraestructura lo permite, identificación de riesgos asociados a las tecnologías de la información y las comunicaciones</v>
      </c>
      <c r="F34" s="128" t="str">
        <f>+IFERROR(VLOOKUP(C34,Hoja1!$H$2:$I$45,2,0),"")</f>
        <v>En proceso</v>
      </c>
      <c r="G34" s="129" t="str">
        <f t="shared" si="0"/>
        <v>Se encuentra en proceso, pero requiere continuar con acciones dirigidas a contar con dicho aspecto de control.</v>
      </c>
      <c r="H34" s="18"/>
      <c r="I34" s="143">
        <f t="shared" si="1"/>
        <v>0.5</v>
      </c>
      <c r="J34" s="280"/>
    </row>
    <row r="35" spans="1:10" ht="67.5" customHeight="1" x14ac:dyDescent="0.3">
      <c r="A35" s="1"/>
      <c r="B35" s="1"/>
      <c r="C35" s="141">
        <v>17</v>
      </c>
      <c r="D35" s="296"/>
      <c r="E35" s="127" t="str">
        <f>+IFERROR(INDEX(Hoja1!$E$2:$E$45,MATCH('Análisis Resultados'!C35,Hoja1!$H$2:$H$45,0)),"")</f>
        <v>Hacen seguimiento a los problemas (riesgos)  que pueden afectar el cumplimiento de sus procesos, programas o proyectos a cargo</v>
      </c>
      <c r="F35" s="128" t="str">
        <f>+IFERROR(VLOOKUP(C35,Hoja1!$H$2:$I$45,2,0),"")</f>
        <v>En proceso</v>
      </c>
      <c r="G35" s="129" t="str">
        <f t="shared" si="0"/>
        <v>Se encuentra en proceso, pero requiere continuar con acciones dirigidas a contar con dicho aspecto de control.</v>
      </c>
      <c r="H35" s="18"/>
      <c r="I35" s="143">
        <f t="shared" si="1"/>
        <v>0.5</v>
      </c>
      <c r="J35" s="280"/>
    </row>
    <row r="36" spans="1:10" ht="30.6" x14ac:dyDescent="0.3">
      <c r="A36" s="1"/>
      <c r="B36" s="1"/>
      <c r="C36" s="141">
        <v>18</v>
      </c>
      <c r="D36" s="296"/>
      <c r="E36" s="127" t="str">
        <f>+IFERROR(INDEX(Hoja1!$E$2:$E$45,MATCH('Análisis Resultados'!C36,Hoja1!$H$2:$H$45,0)),"")</f>
        <v>Informan de manera periódica a quien corresponda sobre el desempeño de las actividades de gestión de riesgos</v>
      </c>
      <c r="F36" s="128" t="str">
        <f>+IFERROR(VLOOKUP(C36,Hoja1!$H$2:$I$45,2,0),"")</f>
        <v>En proceso</v>
      </c>
      <c r="G36" s="129" t="str">
        <f t="shared" si="0"/>
        <v>Se encuentra en proceso, pero requiere continuar con acciones dirigidas a contar con dicho aspecto de control.</v>
      </c>
      <c r="H36" s="18"/>
      <c r="I36" s="143">
        <f t="shared" si="1"/>
        <v>0.5</v>
      </c>
      <c r="J36" s="280"/>
    </row>
    <row r="37" spans="1:10" ht="57" customHeight="1" x14ac:dyDescent="0.3">
      <c r="A37" s="1"/>
      <c r="B37" s="1"/>
      <c r="C37" s="141">
        <v>19</v>
      </c>
      <c r="D37" s="296"/>
      <c r="E37" s="127" t="str">
        <f>+IFERROR(INDEX(Hoja1!$E$2:$E$45,MATCH('Análisis Resultados'!C37,Hoja1!$H$2:$H$45,0)),"")</f>
        <v>Identifican deficiencias en las maneras de  controlar los riesgos o problemas en sus procesos, programas o proyectos, y propone los ajustes necesarios</v>
      </c>
      <c r="F37" s="128" t="str">
        <f>+IFERROR(VLOOKUP(C37,Hoja1!$H$2:$I$45,2,0),"")</f>
        <v>En proceso</v>
      </c>
      <c r="G37" s="129" t="str">
        <f t="shared" si="0"/>
        <v>Se encuentra en proceso, pero requiere continuar con acciones dirigidas a contar con dicho aspecto de control.</v>
      </c>
      <c r="H37" s="18"/>
      <c r="I37" s="143">
        <f t="shared" si="1"/>
        <v>0.5</v>
      </c>
      <c r="J37" s="280"/>
    </row>
    <row r="38" spans="1:10" ht="30.6" x14ac:dyDescent="0.3">
      <c r="A38" s="1"/>
      <c r="B38" s="1"/>
      <c r="C38" s="141">
        <v>20</v>
      </c>
      <c r="D38" s="296"/>
      <c r="E38" s="127" t="str">
        <f>+IFERROR(INDEX(Hoja1!$E$2:$E$45,MATCH('Análisis Resultados'!C38,Hoja1!$H$2:$H$45,0)),"")</f>
        <v>Se definen espacios de reunión para conocerlos y proponer acciones para su solución</v>
      </c>
      <c r="F38" s="128" t="str">
        <f>+IFERROR(VLOOKUP(C38,Hoja1!$H$2:$I$45,2,0),"")</f>
        <v>Si</v>
      </c>
      <c r="G38" s="129" t="str">
        <f t="shared" si="0"/>
        <v>Existe requerimiento pero se requiere actividades  dirigidas a su mantenimiento dentro del marco de las lineas de defensa.</v>
      </c>
      <c r="H38" s="18"/>
      <c r="I38" s="143">
        <f t="shared" si="1"/>
        <v>1</v>
      </c>
      <c r="J38" s="280"/>
    </row>
    <row r="39" spans="1:10" ht="30.6" x14ac:dyDescent="0.3">
      <c r="A39" s="1"/>
      <c r="B39" s="1"/>
      <c r="C39" s="141">
        <v>21</v>
      </c>
      <c r="D39" s="296"/>
      <c r="E39" s="127" t="str">
        <f>+IFERROR(INDEX(Hoja1!$E$2:$E$45,MATCH('Análisis Resultados'!C39,Hoja1!$H$2:$H$45,0)),"")</f>
        <v>Cada líder del equipo autónomamente toma las acciones para solucionarlos.</v>
      </c>
      <c r="F39" s="128" t="str">
        <f>+IFERROR(VLOOKUP(C39,Hoja1!$H$2:$I$45,2,0),"")</f>
        <v>Si</v>
      </c>
      <c r="G39" s="129" t="str">
        <f t="shared" si="0"/>
        <v>Existe requerimiento pero se requiere actividades  dirigidas a su mantenimiento dentro del marco de las lineas de defensa.</v>
      </c>
      <c r="H39" s="18"/>
      <c r="I39" s="143">
        <f t="shared" si="1"/>
        <v>1</v>
      </c>
      <c r="J39" s="280"/>
    </row>
    <row r="40" spans="1:10" ht="31.2" thickBot="1" x14ac:dyDescent="0.35">
      <c r="A40" s="1"/>
      <c r="B40" s="1"/>
      <c r="C40" s="141">
        <v>22</v>
      </c>
      <c r="D40" s="296"/>
      <c r="E40" s="133" t="str">
        <f>+IFERROR(INDEX(Hoja1!$E$2:$E$45,MATCH('Análisis Resultados'!C40,Hoja1!$H$2:$H$45,0)),"")</f>
        <v>Solamente hasta que un organismo de control actúa se definen acciones de mejora.</v>
      </c>
      <c r="F40" s="134" t="str">
        <f>+IFERROR(VLOOKUP(C40,Hoja1!$H$2:$I$45,2,0),"")</f>
        <v>Si</v>
      </c>
      <c r="G40" s="135" t="str">
        <f t="shared" si="0"/>
        <v>Existe requerimiento pero se requiere actividades  dirigidas a su mantenimiento dentro del marco de las lineas de defensa.</v>
      </c>
      <c r="H40" s="18"/>
      <c r="I40" s="145">
        <f t="shared" si="1"/>
        <v>1</v>
      </c>
      <c r="J40" s="280"/>
    </row>
    <row r="41" spans="1:10" ht="87.75" customHeight="1" x14ac:dyDescent="0.3">
      <c r="A41" s="1"/>
      <c r="B41" s="1"/>
      <c r="C41" s="141">
        <v>23</v>
      </c>
      <c r="D41" s="291" t="s">
        <v>79</v>
      </c>
      <c r="E41" s="124" t="str">
        <f>+IFERROR(INDEX(Hoja1!$E$2:$E$45,MATCH('Análisis Resultados'!C41,Hoja1!$H$2:$H$45,0)),"")</f>
        <v>La definición de acciones o actividades para para dar tratamiento a los problemas identificados (mitigación de riesgos), incluyendo aquellos asociados a posibles actos de corrupción</v>
      </c>
      <c r="F41" s="125" t="str">
        <f>+IFERROR(VLOOKUP(C41,Hoja1!$H$2:$I$45,2,0),"")</f>
        <v>En proceso</v>
      </c>
      <c r="G41" s="126" t="str">
        <f t="shared" si="0"/>
        <v>Se encuentra en proceso, pero requiere continuar con acciones dirigidas a contar con dicho aspecto de control.</v>
      </c>
      <c r="H41" s="18"/>
      <c r="I41" s="142">
        <f t="shared" si="1"/>
        <v>0.5</v>
      </c>
      <c r="J41" s="279">
        <f>+AVERAGE(I41:I45)</f>
        <v>0.6</v>
      </c>
    </row>
    <row r="42" spans="1:10" ht="41.4" x14ac:dyDescent="0.3">
      <c r="A42" s="1"/>
      <c r="B42" s="1"/>
      <c r="C42" s="141">
        <v>24</v>
      </c>
      <c r="D42" s="292"/>
      <c r="E42" s="127" t="str">
        <f>+IFERROR(INDEX(Hoja1!$E$2:$E$45,MATCH('Análisis Resultados'!C42,Hoja1!$H$2:$H$45,0)),"")</f>
        <v>Mecanismos de verificación de si se están o no mitigando los riesgos, o en su defecto, elaboración de planes de contingencia para subsanar sus consecuencias</v>
      </c>
      <c r="F42" s="128" t="str">
        <f>+IFERROR(VLOOKUP(C42,Hoja1!$H$2:$I$45,2,0),"")</f>
        <v>En proceso</v>
      </c>
      <c r="G42" s="129" t="str">
        <f t="shared" si="0"/>
        <v>Se encuentra en proceso, pero requiere continuar con acciones dirigidas a contar con dicho aspecto de control.</v>
      </c>
      <c r="H42" s="18"/>
      <c r="I42" s="143">
        <f t="shared" si="1"/>
        <v>0.5</v>
      </c>
      <c r="J42" s="280"/>
    </row>
    <row r="43" spans="1:10" ht="85.5" customHeight="1" x14ac:dyDescent="0.3">
      <c r="A43" s="1"/>
      <c r="B43" s="1"/>
      <c r="C43" s="141">
        <v>25</v>
      </c>
      <c r="D43" s="292"/>
      <c r="E43" s="127" t="str">
        <f>+IFERROR(INDEX(Hoja1!$E$2:$E$45,MATCH('Análisis Resultados'!C43,Hoja1!$H$2:$H$45,0)),"")</f>
        <v>Planes, acciones o estrategias que permitan subsanar las consecuencias de la materialización de los riesgos, cuando se presentan</v>
      </c>
      <c r="F43" s="128" t="str">
        <f>+IFERROR(VLOOKUP(C43,Hoja1!$H$2:$I$45,2,0),"")</f>
        <v>En proceso</v>
      </c>
      <c r="G43" s="129" t="str">
        <f t="shared" si="0"/>
        <v>Se encuentra en proceso, pero requiere continuar con acciones dirigidas a contar con dicho aspecto de control.</v>
      </c>
      <c r="H43" s="18"/>
      <c r="I43" s="143">
        <f t="shared" si="1"/>
        <v>0.5</v>
      </c>
      <c r="J43" s="280"/>
    </row>
    <row r="44" spans="1:10" ht="57" customHeight="1" x14ac:dyDescent="0.3">
      <c r="A44" s="1"/>
      <c r="B44" s="1"/>
      <c r="C44" s="141">
        <v>26</v>
      </c>
      <c r="D44" s="292"/>
      <c r="E44" s="127" t="str">
        <f>+IFERROR(INDEX(Hoja1!$E$2:$E$45,MATCH('Análisis Resultados'!C44,Hoja1!$H$2:$H$45,0)),"")</f>
        <v>Un documento que consolide  los riesgos  y el tratamiento que se les da, incluyendo aquellos que conllevan posibles actos de corrupción y si la capacidad e infraestructura lo permite, los asociados con las tecnologías de la información y las comunicaciones</v>
      </c>
      <c r="F44" s="128" t="str">
        <f>+IFERROR(VLOOKUP(C44,Hoja1!$H$2:$I$45,2,0),"")</f>
        <v>En proceso</v>
      </c>
      <c r="G44" s="129" t="str">
        <f t="shared" si="0"/>
        <v>Se encuentra en proceso, pero requiere continuar con acciones dirigidas a contar con dicho aspecto de control.</v>
      </c>
      <c r="H44" s="18"/>
      <c r="I44" s="143">
        <f t="shared" si="1"/>
        <v>0.5</v>
      </c>
      <c r="J44" s="280"/>
    </row>
    <row r="45" spans="1:10" ht="57" customHeight="1" thickBot="1" x14ac:dyDescent="0.35">
      <c r="A45" s="1"/>
      <c r="B45" s="1"/>
      <c r="C45" s="141">
        <v>27</v>
      </c>
      <c r="D45" s="293"/>
      <c r="E45" s="130" t="str">
        <f>+IFERROR(INDEX(Hoja1!$E$2:$E$45,MATCH('Análisis Resultados'!C45,Hoja1!$H$2:$H$45,0)),"")</f>
        <v>Un plan anticorrupción y de servicio al ciudadano con los temas que le aplican, publicado en algún medio para conocimiento de la ciudadanía</v>
      </c>
      <c r="F45" s="131" t="str">
        <f>+IFERROR(VLOOKUP(C45,Hoja1!$H$2:$I$45,2,0),"")</f>
        <v>Si</v>
      </c>
      <c r="G45" s="132" t="str">
        <f t="shared" si="0"/>
        <v>Existe requerimiento pero se requiere actividades  dirigidas a su mantenimiento dentro del marco de las lineas de defensa.</v>
      </c>
      <c r="H45" s="18"/>
      <c r="I45" s="144">
        <f t="shared" si="1"/>
        <v>1</v>
      </c>
      <c r="J45" s="294"/>
    </row>
    <row r="46" spans="1:10" ht="63.75" customHeight="1" x14ac:dyDescent="0.3">
      <c r="A46" s="1"/>
      <c r="B46" s="1"/>
      <c r="C46" s="141">
        <v>28</v>
      </c>
      <c r="D46" s="290" t="s">
        <v>87</v>
      </c>
      <c r="E46" s="136" t="str">
        <f>+IFERROR(INDEX(Hoja1!$E$2:$E$45,MATCH('Análisis Resultados'!C46,Hoja1!$H$2:$H$45,0)),"")</f>
        <v xml:space="preserve">Lineamientos para dar tratamiento a la información de carácter reservado </v>
      </c>
      <c r="F46" s="137" t="str">
        <f>+IFERROR(VLOOKUP(C46,Hoja1!$H$2:$I$45,2,0),"")</f>
        <v>En proceso</v>
      </c>
      <c r="G46" s="138" t="str">
        <f t="shared" si="0"/>
        <v>Se encuentra en proceso, pero requiere continuar con acciones dirigidas a contar con dicho aspecto de control.</v>
      </c>
      <c r="H46" s="18"/>
      <c r="I46" s="146">
        <f t="shared" si="1"/>
        <v>0.5</v>
      </c>
      <c r="J46" s="280">
        <f>+AVERAGE(I46:I52)</f>
        <v>0.7142857142857143</v>
      </c>
    </row>
    <row r="47" spans="1:10" ht="92.25" customHeight="1" x14ac:dyDescent="0.3">
      <c r="A47" s="1"/>
      <c r="B47" s="1"/>
      <c r="C47" s="141">
        <v>29</v>
      </c>
      <c r="D47" s="290"/>
      <c r="E47" s="127" t="str">
        <f>+IFERROR(INDEX(Hoja1!$E$2:$E$45,MATCH('Análisis Resultados'!C47,Hoja1!$H$2:$H$45,0)),"")</f>
        <v>Identificación de información que produce en el marco de su gestión (Para los ciudadanos, organismos de control, organismos gubernamentales, entre otros)</v>
      </c>
      <c r="F47" s="128" t="str">
        <f>+IFERROR(VLOOKUP(C47,Hoja1!$H$2:$I$45,2,0),"")</f>
        <v>En proceso</v>
      </c>
      <c r="G47" s="139" t="str">
        <f t="shared" si="0"/>
        <v>Se encuentra en proceso, pero requiere continuar con acciones dirigidas a contar con dicho aspecto de control.</v>
      </c>
      <c r="H47" s="18"/>
      <c r="I47" s="147">
        <f t="shared" si="1"/>
        <v>0.5</v>
      </c>
      <c r="J47" s="280"/>
    </row>
    <row r="48" spans="1:10" ht="66.75" customHeight="1" x14ac:dyDescent="0.3">
      <c r="A48" s="1"/>
      <c r="B48" s="1"/>
      <c r="C48" s="141">
        <v>30</v>
      </c>
      <c r="D48" s="290"/>
      <c r="E48" s="127" t="str">
        <f>+IFERROR(INDEX(Hoja1!$E$2:$E$45,MATCH('Análisis Resultados'!C48,Hoja1!$H$2:$H$45,0)),"")</f>
        <v>Identificación de información necesaria para la operación de la entidad (normograma, presupuesto, talento humano, infraestructura física y tecnológica)</v>
      </c>
      <c r="F48" s="128" t="str">
        <f>+IFERROR(VLOOKUP(C48,Hoja1!$H$2:$I$45,2,0),"")</f>
        <v>En proceso</v>
      </c>
      <c r="G48" s="139" t="str">
        <f t="shared" si="0"/>
        <v>Se encuentra en proceso, pero requiere continuar con acciones dirigidas a contar con dicho aspecto de control.</v>
      </c>
      <c r="H48" s="18"/>
      <c r="I48" s="147">
        <f t="shared" si="1"/>
        <v>0.5</v>
      </c>
      <c r="J48" s="280"/>
    </row>
    <row r="49" spans="1:10" ht="60" customHeight="1" x14ac:dyDescent="0.3">
      <c r="A49" s="1"/>
      <c r="B49" s="1"/>
      <c r="C49" s="141">
        <v>31</v>
      </c>
      <c r="D49" s="290"/>
      <c r="E49" s="127" t="str">
        <f>+IFERROR(INDEX(Hoja1!$E$2:$E$45,MATCH('Análisis Resultados'!C49,Hoja1!$H$2:$H$45,0)),"")</f>
        <v>Si su capacidad e infraestructura lo permite, tecnologías de la información y las comunicaciones que soporten estos procesos</v>
      </c>
      <c r="F49" s="128" t="str">
        <f>+IFERROR(VLOOKUP(C49,Hoja1!$H$2:$I$45,2,0),"")</f>
        <v>En proceso</v>
      </c>
      <c r="G49" s="139" t="str">
        <f t="shared" si="0"/>
        <v>Se encuentra en proceso, pero requiere continuar con acciones dirigidas a contar con dicho aspecto de control.</v>
      </c>
      <c r="H49" s="18"/>
      <c r="I49" s="147">
        <f t="shared" si="1"/>
        <v>0.5</v>
      </c>
      <c r="J49" s="280"/>
    </row>
    <row r="50" spans="1:10" ht="57" customHeight="1" x14ac:dyDescent="0.3">
      <c r="A50" s="1"/>
      <c r="B50" s="1"/>
      <c r="C50" s="141">
        <v>32</v>
      </c>
      <c r="D50" s="290"/>
      <c r="E50" s="127" t="str">
        <f>+IFERROR(INDEX(Hoja1!$E$2:$E$45,MATCH('Análisis Resultados'!C50,Hoja1!$H$2:$H$45,0)),"")</f>
        <v>Responsables de la información institucional</v>
      </c>
      <c r="F50" s="128" t="str">
        <f>+IFERROR(VLOOKUP(C50,Hoja1!$H$2:$I$45,2,0),"")</f>
        <v>Si</v>
      </c>
      <c r="G50" s="139" t="str">
        <f t="shared" si="0"/>
        <v>Existe requerimiento pero se requiere actividades  dirigidas a su mantenimiento dentro del marco de las lineas de defensa.</v>
      </c>
      <c r="H50" s="18"/>
      <c r="I50" s="147">
        <f t="shared" si="1"/>
        <v>1</v>
      </c>
      <c r="J50" s="280"/>
    </row>
    <row r="51" spans="1:10" ht="57" customHeight="1" x14ac:dyDescent="0.3">
      <c r="A51" s="1"/>
      <c r="B51" s="1"/>
      <c r="C51" s="141">
        <v>33</v>
      </c>
      <c r="D51" s="290"/>
      <c r="E51" s="127" t="str">
        <f>+IFERROR(INDEX(Hoja1!$E$2:$E$45,MATCH('Análisis Resultados'!C51,Hoja1!$H$2:$H$45,0)),"")</f>
        <v>Canales de comunicación con los ciudadanos</v>
      </c>
      <c r="F51" s="128" t="str">
        <f>+IFERROR(VLOOKUP(C51,Hoja1!$H$2:$I$45,2,0),"")</f>
        <v>Si</v>
      </c>
      <c r="G51" s="139" t="str">
        <f t="shared" si="0"/>
        <v>Existe requerimiento pero se requiere actividades  dirigidas a su mantenimiento dentro del marco de las lineas de defensa.</v>
      </c>
      <c r="H51" s="18"/>
      <c r="I51" s="147">
        <f t="shared" si="1"/>
        <v>1</v>
      </c>
      <c r="J51" s="280"/>
    </row>
    <row r="52" spans="1:10" ht="42" thickBot="1" x14ac:dyDescent="0.35">
      <c r="A52" s="1"/>
      <c r="B52" s="1"/>
      <c r="C52" s="141">
        <v>34</v>
      </c>
      <c r="D52" s="290"/>
      <c r="E52" s="133" t="str">
        <f>+IFERROR(INDEX(Hoja1!$E$2:$E$45,MATCH('Análisis Resultados'!C52,Hoja1!$H$2:$H$45,0)),"")</f>
        <v>Canales de comunicación o mecanismos de reporte de información a otros organismos gubernamentales o de control</v>
      </c>
      <c r="F52" s="134" t="str">
        <f>+IFERROR(VLOOKUP(C52,Hoja1!$H$2:$I$45,2,0),"")</f>
        <v>Si</v>
      </c>
      <c r="G52" s="140" t="str">
        <f t="shared" si="0"/>
        <v>Existe requerimiento pero se requiere actividades  dirigidas a su mantenimiento dentro del marco de las lineas de defensa.</v>
      </c>
      <c r="H52" s="18"/>
      <c r="I52" s="148">
        <f t="shared" si="1"/>
        <v>1</v>
      </c>
      <c r="J52" s="280"/>
    </row>
    <row r="53" spans="1:10" ht="41.25" customHeight="1" x14ac:dyDescent="0.3">
      <c r="A53" s="1"/>
      <c r="B53" s="1"/>
      <c r="C53" s="141">
        <v>35</v>
      </c>
      <c r="D53" s="284" t="s">
        <v>97</v>
      </c>
      <c r="E53" s="124" t="str">
        <f>+IFERROR(INDEX(Hoja1!$E$2:$E$45,MATCH('Análisis Resultados'!C53,Hoja1!$H$2:$H$45,0)),"")</f>
        <v>Mecanismos de evaluación de la gestión (cronogramas, indicadores, listas de chequeo u otros)</v>
      </c>
      <c r="F53" s="125" t="str">
        <f>+IFERROR(VLOOKUP(C53,Hoja1!$H$2:$I$45,2,0),"")</f>
        <v>En proceso</v>
      </c>
      <c r="G53" s="126" t="str">
        <f t="shared" si="0"/>
        <v>Se encuentra en proceso, pero requiere continuar con acciones dirigidas a contar con dicho aspecto de control.</v>
      </c>
      <c r="H53" s="18"/>
      <c r="I53" s="142">
        <f t="shared" si="1"/>
        <v>0.5</v>
      </c>
      <c r="J53" s="287">
        <f>+AVERAGE(I53:I62)</f>
        <v>0.65</v>
      </c>
    </row>
    <row r="54" spans="1:10" ht="58.5" customHeight="1" x14ac:dyDescent="0.3">
      <c r="A54" s="1"/>
      <c r="B54" s="1"/>
      <c r="C54" s="141">
        <v>36</v>
      </c>
      <c r="D54" s="285"/>
      <c r="E54" s="127" t="str">
        <f>+IFERROR(INDEX(Hoja1!$E$2:$E$45,MATCH('Análisis Resultados'!C54,Hoja1!$H$2:$H$45,0)),"")</f>
        <v>Algún mecanismo para monitorear o supervisar el sistema de control interno institucional, ya sea por parte del representante legal, o del área de control interno (si la entidad cuenta con ella), o bien a través del Comité departamental o municipal de Auditoría.</v>
      </c>
      <c r="F54" s="128" t="str">
        <f>+IFERROR(VLOOKUP(C54,Hoja1!$H$2:$I$45,2,0),"")</f>
        <v>En proceso</v>
      </c>
      <c r="G54" s="129" t="str">
        <f t="shared" si="0"/>
        <v>Se encuentra en proceso, pero requiere continuar con acciones dirigidas a contar con dicho aspecto de control.</v>
      </c>
      <c r="H54" s="18"/>
      <c r="I54" s="143">
        <f t="shared" si="1"/>
        <v>0.5</v>
      </c>
      <c r="J54" s="288"/>
    </row>
    <row r="55" spans="1:10" s="1" customFormat="1" ht="84.75" customHeight="1" x14ac:dyDescent="0.3">
      <c r="C55" s="141">
        <v>37</v>
      </c>
      <c r="D55" s="285"/>
      <c r="E55" s="127" t="str">
        <f>+IFERROR(INDEX(Hoja1!$E$2:$E$45,MATCH('Análisis Resultados'!C55,Hoja1!$H$2:$H$45,0)),"")</f>
        <v>Evitar que los problemas (riesgos) obstaculicen el cumplimiento de los objetivos.</v>
      </c>
      <c r="F55" s="128" t="str">
        <f>+IFERROR(VLOOKUP(C55,Hoja1!$H$2:$I$45,2,0),"")</f>
        <v>En proceso</v>
      </c>
      <c r="G55" s="129" t="str">
        <f t="shared" si="0"/>
        <v>Se encuentra en proceso, pero requiere continuar con acciones dirigidas a contar con dicho aspecto de control.</v>
      </c>
      <c r="H55" s="6"/>
      <c r="I55" s="143">
        <f t="shared" si="1"/>
        <v>0.5</v>
      </c>
      <c r="J55" s="288"/>
    </row>
    <row r="56" spans="1:10" s="1" customFormat="1" ht="78.75" customHeight="1" x14ac:dyDescent="0.3">
      <c r="C56" s="141">
        <v>38</v>
      </c>
      <c r="D56" s="285"/>
      <c r="E56" s="127" t="str">
        <f>+IFERROR(INDEX(Hoja1!$E$2:$E$45,MATCH('Análisis Resultados'!C56,Hoja1!$H$2:$H$45,0)),"")</f>
        <v>Controlar los puntos críticos en los procesos.</v>
      </c>
      <c r="F56" s="128" t="str">
        <f>+IFERROR(VLOOKUP(C56,Hoja1!$H$2:$I$45,2,0),"")</f>
        <v>En proceso</v>
      </c>
      <c r="G56" s="129" t="str">
        <f t="shared" si="0"/>
        <v>Se encuentra en proceso, pero requiere continuar con acciones dirigidas a contar con dicho aspecto de control.</v>
      </c>
      <c r="H56" s="6"/>
      <c r="I56" s="143">
        <f t="shared" si="1"/>
        <v>0.5</v>
      </c>
      <c r="J56" s="288"/>
    </row>
    <row r="57" spans="1:10" s="1" customFormat="1" ht="54.75" customHeight="1" x14ac:dyDescent="0.3">
      <c r="C57" s="141">
        <v>39</v>
      </c>
      <c r="D57" s="285"/>
      <c r="E57" s="127" t="str">
        <f>+IFERROR(INDEX(Hoja1!$E$2:$E$45,MATCH('Análisis Resultados'!C57,Hoja1!$H$2:$H$45,0)),"")</f>
        <v>Diseñar acciones adecuadas para controlar los problemas que afectan el cumplimiento de las metas y objetivos institucionales (riesgos).</v>
      </c>
      <c r="F57" s="128" t="str">
        <f>+IFERROR(VLOOKUP(C57,Hoja1!$H$2:$I$45,2,0),"")</f>
        <v>En proceso</v>
      </c>
      <c r="G57" s="129" t="str">
        <f t="shared" si="0"/>
        <v>Se encuentra en proceso, pero requiere continuar con acciones dirigidas a contar con dicho aspecto de control.</v>
      </c>
      <c r="H57" s="6"/>
      <c r="I57" s="143">
        <f t="shared" si="1"/>
        <v>0.5</v>
      </c>
      <c r="J57" s="288"/>
    </row>
    <row r="58" spans="1:10" s="1" customFormat="1" ht="68.25" customHeight="1" x14ac:dyDescent="0.3">
      <c r="C58" s="141">
        <v>40</v>
      </c>
      <c r="D58" s="285"/>
      <c r="E58" s="127" t="str">
        <f>+IFERROR(INDEX(Hoja1!$E$2:$E$45,MATCH('Análisis Resultados'!C58,Hoja1!$H$2:$H$45,0)),"")</f>
        <v>Ejecutar las acciones de acuerdo a como se diseñaron previamente.</v>
      </c>
      <c r="F58" s="128" t="str">
        <f>+IFERROR(VLOOKUP(C58,Hoja1!$H$2:$I$45,2,0),"")</f>
        <v>En proceso</v>
      </c>
      <c r="G58" s="129" t="str">
        <f t="shared" si="0"/>
        <v>Se encuentra en proceso, pero requiere continuar con acciones dirigidas a contar con dicho aspecto de control.</v>
      </c>
      <c r="H58" s="6"/>
      <c r="I58" s="143">
        <f t="shared" si="1"/>
        <v>0.5</v>
      </c>
      <c r="J58" s="288"/>
    </row>
    <row r="59" spans="1:10" s="1" customFormat="1" ht="45" customHeight="1" x14ac:dyDescent="0.3">
      <c r="C59" s="141">
        <v>41</v>
      </c>
      <c r="D59" s="285"/>
      <c r="E59" s="127" t="str">
        <f>+IFERROR(INDEX(Hoja1!$E$2:$E$45,MATCH('Análisis Resultados'!C59,Hoja1!$H$2:$H$45,0)),"")</f>
        <v>No se gestionan los problemas que afectan el cumplimiento de las funciones y objetivos institucionales(riesgos).</v>
      </c>
      <c r="F59" s="128" t="str">
        <f>+IFERROR(VLOOKUP(C59,Hoja1!$H$2:$I$45,2,0),"")</f>
        <v>En proceso</v>
      </c>
      <c r="G59" s="129" t="str">
        <f t="shared" si="0"/>
        <v>Se encuentra en proceso, pero requiere continuar con acciones dirigidas a contar con dicho aspecto de control.</v>
      </c>
      <c r="H59" s="6"/>
      <c r="I59" s="143">
        <f t="shared" si="1"/>
        <v>0.5</v>
      </c>
      <c r="J59" s="288"/>
    </row>
    <row r="60" spans="1:10" s="1" customFormat="1" ht="51.75" customHeight="1" x14ac:dyDescent="0.3">
      <c r="C60" s="141">
        <v>42</v>
      </c>
      <c r="D60" s="285"/>
      <c r="E60" s="127" t="str">
        <f>+IFERROR(INDEX(Hoja1!$E$2:$E$45,MATCH('Análisis Resultados'!C60,Hoja1!$H$2:$H$45,0)),"")</f>
        <v>Medidas correctivas en caso de detectarse deficiencias en los ejercicios de evaluación, seguimiento o auditoría</v>
      </c>
      <c r="F60" s="128" t="str">
        <f>+IFERROR(VLOOKUP(C60,Hoja1!$H$2:$I$45,2,0),"")</f>
        <v>Si</v>
      </c>
      <c r="G60" s="129" t="str">
        <f t="shared" si="0"/>
        <v>Existe requerimiento pero se requiere actividades  dirigidas a su mantenimiento dentro del marco de las lineas de defensa.</v>
      </c>
      <c r="H60" s="6"/>
      <c r="I60" s="143">
        <f t="shared" si="1"/>
        <v>1</v>
      </c>
      <c r="J60" s="288"/>
    </row>
    <row r="61" spans="1:10" s="1" customFormat="1" ht="84" customHeight="1" x14ac:dyDescent="0.3">
      <c r="C61" s="141">
        <v>43</v>
      </c>
      <c r="D61" s="285"/>
      <c r="E61" s="127" t="str">
        <f>+IFERROR(INDEX(Hoja1!$E$2:$E$45,MATCH('Análisis Resultados'!C61,Hoja1!$H$2:$H$45,0)),"")</f>
        <v>Seguimiento a los planes de mejoramiento suscritos con instancias de control internas o externas</v>
      </c>
      <c r="F61" s="128" t="str">
        <f>+IFERROR(VLOOKUP(C61,Hoja1!$H$2:$I$45,2,0),"")</f>
        <v>Si</v>
      </c>
      <c r="G61" s="129" t="str">
        <f t="shared" si="0"/>
        <v>Existe requerimiento pero se requiere actividades  dirigidas a su mantenimiento dentro del marco de las lineas de defensa.</v>
      </c>
      <c r="H61" s="6"/>
      <c r="I61" s="143">
        <f t="shared" si="1"/>
        <v>1</v>
      </c>
      <c r="J61" s="288"/>
    </row>
    <row r="62" spans="1:10" s="1" customFormat="1" ht="60" customHeight="1" thickBot="1" x14ac:dyDescent="0.35">
      <c r="C62" s="141">
        <v>44</v>
      </c>
      <c r="D62" s="286"/>
      <c r="E62" s="130" t="str">
        <f>+IFERROR(INDEX(Hoja1!$E$2:$E$45,MATCH('Análisis Resultados'!C62,Hoja1!$H$2:$H$45,0)),"")</f>
        <v>La entidad participa en el  Comité Municipal de Auditoría?</v>
      </c>
      <c r="F62" s="131" t="str">
        <f>+IFERROR(VLOOKUP(C62,Hoja1!$H$2:$I$45,2,0),"")</f>
        <v>Si</v>
      </c>
      <c r="G62" s="132" t="str">
        <f t="shared" si="0"/>
        <v>Existe requerimiento pero se requiere actividades  dirigidas a su mantenimiento dentro del marco de las lineas de defensa.</v>
      </c>
      <c r="H62" s="6"/>
      <c r="I62" s="144">
        <f t="shared" si="1"/>
        <v>1</v>
      </c>
      <c r="J62" s="289"/>
    </row>
    <row r="63" spans="1:10" s="1" customFormat="1" x14ac:dyDescent="0.3">
      <c r="H63" s="6"/>
    </row>
    <row r="64" spans="1:10" s="1" customFormat="1" x14ac:dyDescent="0.3">
      <c r="H64" s="6"/>
    </row>
    <row r="65" spans="1:2" s="1" customFormat="1" x14ac:dyDescent="0.3"/>
    <row r="66" spans="1:2" s="1" customFormat="1" x14ac:dyDescent="0.3"/>
    <row r="67" spans="1:2" s="1" customFormat="1" x14ac:dyDescent="0.3"/>
    <row r="68" spans="1:2" s="1" customFormat="1" x14ac:dyDescent="0.3"/>
    <row r="69" spans="1:2" s="1" customFormat="1" x14ac:dyDescent="0.3"/>
    <row r="70" spans="1:2" s="1" customFormat="1" x14ac:dyDescent="0.3"/>
    <row r="71" spans="1:2" x14ac:dyDescent="0.3">
      <c r="A71" s="1"/>
      <c r="B71" s="1"/>
    </row>
    <row r="72" spans="1:2" x14ac:dyDescent="0.3">
      <c r="A72" s="1"/>
      <c r="B72" s="1"/>
    </row>
    <row r="73" spans="1:2" x14ac:dyDescent="0.3">
      <c r="A73" s="1"/>
      <c r="B73" s="1"/>
    </row>
    <row r="74" spans="1:2" x14ac:dyDescent="0.3">
      <c r="A74" s="1"/>
      <c r="B74" s="1"/>
    </row>
  </sheetData>
  <sheetProtection algorithmName="SHA-512" hashValue="2c/K7BVeA+JOjsvnu2HILGfEHHcx80UTyQTucJ5c70tus45UaD3gXdqjB7xLC6LydtmfT9VN5B07LstuhHP+UQ==" saltValue="5+Ylqwr6SZ9tvbSyY2m3gQ==" spinCount="100000" sheet="1" objects="1" scenarios="1" formatCells="0"/>
  <mergeCells count="25">
    <mergeCell ref="J31:J40"/>
    <mergeCell ref="C12:D12"/>
    <mergeCell ref="E12:F12"/>
    <mergeCell ref="J19:J30"/>
    <mergeCell ref="D53:D62"/>
    <mergeCell ref="J53:J62"/>
    <mergeCell ref="D46:D52"/>
    <mergeCell ref="J46:J52"/>
    <mergeCell ref="D41:D45"/>
    <mergeCell ref="J41:J45"/>
    <mergeCell ref="D31:D40"/>
    <mergeCell ref="C11:D11"/>
    <mergeCell ref="E11:F11"/>
    <mergeCell ref="J17:J18"/>
    <mergeCell ref="D19:D30"/>
    <mergeCell ref="C17:C18"/>
    <mergeCell ref="D17:E17"/>
    <mergeCell ref="F17:F18"/>
    <mergeCell ref="G17:G18"/>
    <mergeCell ref="I17:I18"/>
    <mergeCell ref="C7:K7"/>
    <mergeCell ref="C9:D9"/>
    <mergeCell ref="E9:F9"/>
    <mergeCell ref="C10:D10"/>
    <mergeCell ref="E10:F10"/>
  </mergeCells>
  <conditionalFormatting sqref="I19:I62">
    <cfRule type="cellIs" dxfId="19" priority="4" operator="between">
      <formula>0.75</formula>
      <formula>1</formula>
    </cfRule>
    <cfRule type="cellIs" dxfId="18" priority="5" operator="between">
      <formula>0.5</formula>
      <formula>0.74</formula>
    </cfRule>
    <cfRule type="cellIs" dxfId="17" priority="6" operator="between">
      <formula>0</formula>
      <formula>0.49</formula>
    </cfRule>
  </conditionalFormatting>
  <conditionalFormatting sqref="J53 J19:J31 J46 J41">
    <cfRule type="cellIs" priority="1" operator="between">
      <formula>0.75</formula>
      <formula>1</formula>
    </cfRule>
    <cfRule type="cellIs" dxfId="16" priority="2" operator="between">
      <formula>0.5</formula>
      <formula>0.75</formula>
    </cfRule>
    <cfRule type="cellIs" dxfId="15" priority="3" operator="between">
      <formula>0</formula>
      <formula>0.49</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operator="containsText" id="{B5EC0094-D2B5-49BB-B6F9-E988382E1263}">
            <xm:f>NOT(ISERROR(SEARCH($E$12,G19)))</xm:f>
            <xm:f>$E$12</xm:f>
            <x14:dxf>
              <fill>
                <patternFill>
                  <bgColor rgb="FFFF0000"/>
                </patternFill>
              </fill>
            </x14:dxf>
          </x14:cfRule>
          <x14:cfRule type="containsText" priority="8" operator="containsText" id="{D802A135-824D-43A0-835B-FE63514274DE}">
            <xm:f>NOT(ISERROR(SEARCH($E$11,G19)))</xm:f>
            <xm:f>$E$11</xm:f>
            <x14:dxf>
              <fill>
                <patternFill>
                  <bgColor rgb="FFFFFF00"/>
                </patternFill>
              </fill>
            </x14:dxf>
          </x14:cfRule>
          <x14:cfRule type="containsText" priority="9" operator="containsText" id="{D7844022-1CB2-4683-9B09-8D3EA8F0FDED}">
            <xm:f>NOT(ISERROR(SEARCH($E$10,G19)))</xm:f>
            <xm:f>$E$10</xm:f>
            <x14:dxf>
              <fill>
                <patternFill>
                  <bgColor rgb="FF00B050"/>
                </patternFill>
              </fill>
            </x14:dxf>
          </x14:cfRule>
          <xm:sqref>G19:G62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1"/>
  <sheetViews>
    <sheetView zoomScale="59" zoomScaleNormal="59" workbookViewId="0">
      <selection activeCell="I39" sqref="I39"/>
    </sheetView>
  </sheetViews>
  <sheetFormatPr baseColWidth="10" defaultColWidth="11.44140625" defaultRowHeight="14.4" x14ac:dyDescent="0.3"/>
  <cols>
    <col min="1" max="1" width="4.44140625" customWidth="1"/>
    <col min="3" max="3" width="35.5546875" customWidth="1"/>
    <col min="4" max="4" width="13" customWidth="1"/>
    <col min="5" max="5" width="43.33203125" customWidth="1"/>
    <col min="7" max="7" width="33.88671875" customWidth="1"/>
    <col min="9" max="9" width="92.33203125" customWidth="1"/>
    <col min="13" max="13" width="29" customWidth="1"/>
  </cols>
  <sheetData>
    <row r="1" spans="1:17" s="1" customFormat="1" x14ac:dyDescent="0.3"/>
    <row r="2" spans="1:17" ht="15" thickBot="1" x14ac:dyDescent="0.35">
      <c r="A2" s="1"/>
      <c r="B2" s="1"/>
      <c r="C2" s="1"/>
      <c r="D2" s="1"/>
      <c r="E2" s="1"/>
      <c r="F2" s="1"/>
      <c r="G2" s="1"/>
      <c r="H2" s="1"/>
      <c r="I2" s="1"/>
      <c r="J2" s="1"/>
      <c r="K2" s="1"/>
      <c r="L2" s="1"/>
      <c r="M2" s="1"/>
      <c r="N2" s="1"/>
      <c r="O2" s="1"/>
      <c r="P2" s="1"/>
      <c r="Q2" s="1"/>
    </row>
    <row r="3" spans="1:17" ht="15" thickTop="1" x14ac:dyDescent="0.3">
      <c r="A3" s="1"/>
      <c r="B3" s="2"/>
      <c r="C3" s="3"/>
      <c r="D3" s="3"/>
      <c r="E3" s="3"/>
      <c r="F3" s="3"/>
      <c r="G3" s="3"/>
      <c r="H3" s="3"/>
      <c r="I3" s="3"/>
      <c r="J3" s="3"/>
      <c r="K3" s="3"/>
      <c r="L3" s="3"/>
      <c r="M3" s="3"/>
      <c r="N3" s="3"/>
      <c r="O3" s="3"/>
      <c r="P3" s="4"/>
      <c r="Q3" s="1"/>
    </row>
    <row r="4" spans="1:17" x14ac:dyDescent="0.3">
      <c r="A4" s="1"/>
      <c r="B4" s="5"/>
      <c r="C4" s="6"/>
      <c r="D4" s="6"/>
      <c r="E4" s="313" t="s">
        <v>124</v>
      </c>
      <c r="F4" s="315" t="s">
        <v>223</v>
      </c>
      <c r="G4" s="315"/>
      <c r="H4" s="315"/>
      <c r="I4" s="315"/>
      <c r="J4" s="315"/>
      <c r="K4" s="315"/>
      <c r="L4" s="315"/>
      <c r="M4" s="315"/>
      <c r="N4" s="7"/>
      <c r="O4" s="7"/>
      <c r="P4" s="8"/>
      <c r="Q4" s="1"/>
    </row>
    <row r="5" spans="1:17" ht="45.75" customHeight="1" x14ac:dyDescent="0.3">
      <c r="A5" s="1"/>
      <c r="B5" s="5"/>
      <c r="C5" s="6"/>
      <c r="D5" s="6"/>
      <c r="E5" s="314"/>
      <c r="F5" s="315"/>
      <c r="G5" s="315"/>
      <c r="H5" s="315"/>
      <c r="I5" s="315"/>
      <c r="J5" s="315"/>
      <c r="K5" s="315"/>
      <c r="L5" s="315"/>
      <c r="M5" s="315"/>
      <c r="N5" s="7"/>
      <c r="O5" s="7"/>
      <c r="P5" s="8"/>
      <c r="Q5" s="1"/>
    </row>
    <row r="6" spans="1:17" ht="66.75" customHeight="1" x14ac:dyDescent="0.3">
      <c r="A6" s="1"/>
      <c r="B6" s="5"/>
      <c r="C6" s="6"/>
      <c r="D6" s="6"/>
      <c r="E6" s="96" t="s">
        <v>125</v>
      </c>
      <c r="F6" s="316" t="s">
        <v>216</v>
      </c>
      <c r="G6" s="317"/>
      <c r="H6" s="317"/>
      <c r="I6" s="317"/>
      <c r="J6" s="317"/>
      <c r="K6" s="317"/>
      <c r="L6" s="317"/>
      <c r="M6" s="318"/>
      <c r="N6" s="9"/>
      <c r="O6" s="9"/>
      <c r="P6" s="8"/>
      <c r="Q6" s="1"/>
    </row>
    <row r="7" spans="1:17" ht="15" thickBot="1" x14ac:dyDescent="0.35">
      <c r="A7" s="1"/>
      <c r="B7" s="5"/>
      <c r="C7" s="6"/>
      <c r="D7" s="6"/>
      <c r="E7" s="10"/>
      <c r="F7" s="9"/>
      <c r="G7" s="9"/>
      <c r="H7" s="9"/>
      <c r="I7" s="9"/>
      <c r="J7" s="9"/>
      <c r="K7" s="9"/>
      <c r="L7" s="9"/>
      <c r="M7" s="6"/>
      <c r="N7" s="6"/>
      <c r="O7" s="6"/>
      <c r="P7" s="8"/>
      <c r="Q7" s="1"/>
    </row>
    <row r="8" spans="1:17" ht="97.5" customHeight="1" thickBot="1" x14ac:dyDescent="0.35">
      <c r="A8" s="1"/>
      <c r="B8" s="5"/>
      <c r="C8" s="6"/>
      <c r="D8" s="6"/>
      <c r="E8" s="6"/>
      <c r="F8" s="6"/>
      <c r="G8" s="6"/>
      <c r="H8" s="6"/>
      <c r="I8" s="319" t="s">
        <v>126</v>
      </c>
      <c r="J8" s="320"/>
      <c r="K8" s="321"/>
      <c r="L8" s="6"/>
      <c r="M8" s="149">
        <f>+AVERAGE(G26,G28,G30,G32,G34)</f>
        <v>0.67285714285714282</v>
      </c>
      <c r="N8" s="11"/>
      <c r="O8" s="11"/>
      <c r="P8" s="8"/>
      <c r="Q8" s="1"/>
    </row>
    <row r="9" spans="1:17" ht="15.6" x14ac:dyDescent="0.3">
      <c r="A9" s="1"/>
      <c r="B9" s="5"/>
      <c r="C9" s="6"/>
      <c r="D9" s="6"/>
      <c r="E9" s="6"/>
      <c r="F9" s="6"/>
      <c r="G9" s="6"/>
      <c r="H9" s="6"/>
      <c r="I9" s="6"/>
      <c r="J9" s="6"/>
      <c r="K9" s="6"/>
      <c r="L9" s="6"/>
      <c r="M9" s="12"/>
      <c r="N9" s="12"/>
      <c r="O9" s="12"/>
      <c r="P9" s="8"/>
      <c r="Q9" s="1"/>
    </row>
    <row r="10" spans="1:17" x14ac:dyDescent="0.3">
      <c r="A10" s="1"/>
      <c r="B10" s="5"/>
      <c r="C10" s="6"/>
      <c r="D10" s="6"/>
      <c r="E10" s="6"/>
      <c r="F10" s="6"/>
      <c r="G10" s="6"/>
      <c r="H10" s="6"/>
      <c r="I10" s="6"/>
      <c r="J10" s="6"/>
      <c r="K10" s="6"/>
      <c r="L10" s="6"/>
      <c r="M10" s="6"/>
      <c r="N10" s="6"/>
      <c r="O10" s="6"/>
      <c r="P10" s="8"/>
      <c r="Q10" s="1"/>
    </row>
    <row r="11" spans="1:17" x14ac:dyDescent="0.3">
      <c r="A11" s="1"/>
      <c r="B11" s="5"/>
      <c r="C11" s="6"/>
      <c r="D11" s="6"/>
      <c r="E11" s="6"/>
      <c r="F11" s="6"/>
      <c r="G11" s="6"/>
      <c r="H11" s="6"/>
      <c r="I11" s="6"/>
      <c r="J11" s="6"/>
      <c r="K11" s="6"/>
      <c r="L11" s="6"/>
      <c r="M11" s="6"/>
      <c r="N11" s="6"/>
      <c r="O11" s="6"/>
      <c r="P11" s="8"/>
      <c r="Q11" s="1"/>
    </row>
    <row r="12" spans="1:17" x14ac:dyDescent="0.3">
      <c r="A12" s="1"/>
      <c r="B12" s="5"/>
      <c r="C12" s="6"/>
      <c r="D12" s="6"/>
      <c r="E12" s="6"/>
      <c r="F12" s="6"/>
      <c r="G12" s="6"/>
      <c r="H12" s="6"/>
      <c r="I12" s="6"/>
      <c r="J12" s="6"/>
      <c r="K12" s="6"/>
      <c r="L12" s="6"/>
      <c r="M12" s="6"/>
      <c r="N12" s="6"/>
      <c r="O12" s="6"/>
      <c r="P12" s="8"/>
      <c r="Q12" s="1"/>
    </row>
    <row r="13" spans="1:17" x14ac:dyDescent="0.3">
      <c r="A13" s="1"/>
      <c r="B13" s="5"/>
      <c r="C13" s="6"/>
      <c r="D13" s="6"/>
      <c r="E13" s="6"/>
      <c r="F13" s="6"/>
      <c r="G13" s="6"/>
      <c r="H13" s="6"/>
      <c r="I13" s="6"/>
      <c r="J13" s="6"/>
      <c r="K13" s="6"/>
      <c r="L13" s="6"/>
      <c r="M13" s="6"/>
      <c r="N13" s="6"/>
      <c r="O13" s="6"/>
      <c r="P13" s="8"/>
      <c r="Q13" s="1"/>
    </row>
    <row r="14" spans="1:17" x14ac:dyDescent="0.3">
      <c r="A14" s="1"/>
      <c r="B14" s="5"/>
      <c r="C14" s="6"/>
      <c r="D14" s="6"/>
      <c r="E14" s="6"/>
      <c r="F14" s="6"/>
      <c r="G14" s="6"/>
      <c r="H14" s="6"/>
      <c r="I14" s="6"/>
      <c r="J14" s="6"/>
      <c r="K14" s="6"/>
      <c r="L14" s="6"/>
      <c r="M14" s="6"/>
      <c r="N14" s="6"/>
      <c r="O14" s="6"/>
      <c r="P14" s="8"/>
      <c r="Q14" s="1"/>
    </row>
    <row r="15" spans="1:17" x14ac:dyDescent="0.3">
      <c r="A15" s="1"/>
      <c r="B15" s="5"/>
      <c r="C15" s="6"/>
      <c r="D15" s="6"/>
      <c r="E15" s="6"/>
      <c r="F15" s="6"/>
      <c r="G15" s="6"/>
      <c r="H15" s="6"/>
      <c r="I15" s="6"/>
      <c r="J15" s="6"/>
      <c r="K15" s="6"/>
      <c r="L15" s="6"/>
      <c r="M15" s="6"/>
      <c r="N15" s="6"/>
      <c r="O15" s="6"/>
      <c r="P15" s="8"/>
      <c r="Q15" s="1"/>
    </row>
    <row r="16" spans="1:17" x14ac:dyDescent="0.3">
      <c r="A16" s="1"/>
      <c r="B16" s="5"/>
      <c r="C16" s="6"/>
      <c r="D16" s="6"/>
      <c r="E16" s="6"/>
      <c r="F16" s="6"/>
      <c r="G16" s="6"/>
      <c r="H16" s="6"/>
      <c r="I16" s="6"/>
      <c r="J16" s="6"/>
      <c r="K16" s="6"/>
      <c r="L16" s="6"/>
      <c r="M16" s="6"/>
      <c r="N16" s="6"/>
      <c r="O16" s="6"/>
      <c r="P16" s="8"/>
      <c r="Q16" s="1"/>
    </row>
    <row r="17" spans="1:17" x14ac:dyDescent="0.3">
      <c r="A17" s="1"/>
      <c r="B17" s="5"/>
      <c r="C17" s="6"/>
      <c r="D17" s="6"/>
      <c r="E17" s="6"/>
      <c r="F17" s="6"/>
      <c r="G17" s="6"/>
      <c r="H17" s="6"/>
      <c r="I17" s="6"/>
      <c r="J17" s="6"/>
      <c r="K17" s="6"/>
      <c r="L17" s="6"/>
      <c r="M17" s="6"/>
      <c r="N17" s="6"/>
      <c r="O17" s="6"/>
      <c r="P17" s="8"/>
      <c r="Q17" s="1"/>
    </row>
    <row r="18" spans="1:17" ht="22.8" x14ac:dyDescent="0.3">
      <c r="A18" s="1"/>
      <c r="B18" s="5"/>
      <c r="C18" s="322" t="s">
        <v>127</v>
      </c>
      <c r="D18" s="323"/>
      <c r="E18" s="323"/>
      <c r="F18" s="323"/>
      <c r="G18" s="323"/>
      <c r="H18" s="323"/>
      <c r="I18" s="323"/>
      <c r="J18" s="323"/>
      <c r="K18" s="323"/>
      <c r="L18" s="323"/>
      <c r="M18" s="324"/>
      <c r="N18" s="13"/>
      <c r="O18" s="13"/>
      <c r="P18" s="8"/>
      <c r="Q18" s="1"/>
    </row>
    <row r="19" spans="1:17" ht="16.2" thickBot="1" x14ac:dyDescent="0.35">
      <c r="A19" s="1"/>
      <c r="B19" s="5"/>
      <c r="C19" s="14"/>
      <c r="D19" s="14"/>
      <c r="E19" s="14"/>
      <c r="F19" s="14"/>
      <c r="G19" s="14"/>
      <c r="H19" s="14"/>
      <c r="I19" s="14"/>
      <c r="J19" s="14"/>
      <c r="K19" s="14"/>
      <c r="L19" s="14"/>
      <c r="M19" s="14"/>
      <c r="N19" s="15"/>
      <c r="O19" s="15"/>
      <c r="P19" s="8"/>
      <c r="Q19" s="1"/>
    </row>
    <row r="20" spans="1:17" ht="150" customHeight="1" x14ac:dyDescent="0.3">
      <c r="A20" s="1"/>
      <c r="B20" s="5"/>
      <c r="C20" s="325" t="s">
        <v>128</v>
      </c>
      <c r="D20" s="326"/>
      <c r="E20" s="152" t="s">
        <v>76</v>
      </c>
      <c r="F20" s="327" t="s">
        <v>217</v>
      </c>
      <c r="G20" s="327"/>
      <c r="H20" s="327"/>
      <c r="I20" s="327"/>
      <c r="J20" s="327"/>
      <c r="K20" s="327"/>
      <c r="L20" s="327"/>
      <c r="M20" s="328"/>
      <c r="N20" s="15"/>
      <c r="O20" s="15"/>
      <c r="P20" s="8"/>
      <c r="Q20" s="1"/>
    </row>
    <row r="21" spans="1:17" ht="126.75" customHeight="1" x14ac:dyDescent="0.3">
      <c r="A21" s="1"/>
      <c r="B21" s="5"/>
      <c r="C21" s="309" t="s">
        <v>129</v>
      </c>
      <c r="D21" s="310"/>
      <c r="E21" s="153" t="s">
        <v>36</v>
      </c>
      <c r="F21" s="329" t="s">
        <v>218</v>
      </c>
      <c r="G21" s="329"/>
      <c r="H21" s="329"/>
      <c r="I21" s="329"/>
      <c r="J21" s="329"/>
      <c r="K21" s="329"/>
      <c r="L21" s="329"/>
      <c r="M21" s="330"/>
      <c r="N21" s="15"/>
      <c r="O21" s="15"/>
      <c r="P21" s="8"/>
      <c r="Q21" s="1"/>
    </row>
    <row r="22" spans="1:17" ht="151.5" customHeight="1" thickBot="1" x14ac:dyDescent="0.35">
      <c r="A22" s="1"/>
      <c r="B22" s="5"/>
      <c r="C22" s="311" t="s">
        <v>130</v>
      </c>
      <c r="D22" s="312"/>
      <c r="E22" s="154" t="s">
        <v>36</v>
      </c>
      <c r="F22" s="331" t="s">
        <v>219</v>
      </c>
      <c r="G22" s="331"/>
      <c r="H22" s="331"/>
      <c r="I22" s="331"/>
      <c r="J22" s="331"/>
      <c r="K22" s="331"/>
      <c r="L22" s="331"/>
      <c r="M22" s="332"/>
      <c r="N22" s="15"/>
      <c r="O22" s="15"/>
      <c r="P22" s="8"/>
      <c r="Q22" s="1"/>
    </row>
    <row r="23" spans="1:17" x14ac:dyDescent="0.3">
      <c r="A23" s="1"/>
      <c r="B23" s="5"/>
      <c r="C23" s="6"/>
      <c r="D23" s="6"/>
      <c r="E23" s="6"/>
      <c r="F23" s="6"/>
      <c r="G23" s="16"/>
      <c r="H23" s="6"/>
      <c r="I23" s="6"/>
      <c r="J23" s="6"/>
      <c r="K23" s="6"/>
      <c r="L23" s="6"/>
      <c r="M23" s="6"/>
      <c r="N23" s="6"/>
      <c r="O23" s="6"/>
      <c r="P23" s="8"/>
      <c r="Q23" s="1"/>
    </row>
    <row r="24" spans="1:17" ht="73.8" x14ac:dyDescent="0.3">
      <c r="A24" s="1"/>
      <c r="B24" s="5"/>
      <c r="C24" s="99" t="s">
        <v>131</v>
      </c>
      <c r="D24" s="100"/>
      <c r="E24" s="99" t="s">
        <v>132</v>
      </c>
      <c r="F24" s="100"/>
      <c r="G24" s="99" t="s">
        <v>133</v>
      </c>
      <c r="H24" s="100"/>
      <c r="I24" s="303" t="s">
        <v>134</v>
      </c>
      <c r="J24" s="303"/>
      <c r="K24" s="303"/>
      <c r="L24" s="303"/>
      <c r="M24" s="303"/>
      <c r="N24" s="33"/>
      <c r="O24" s="33"/>
      <c r="P24" s="8"/>
      <c r="Q24" s="17"/>
    </row>
    <row r="25" spans="1:17" ht="13.5" customHeight="1" thickBot="1" x14ac:dyDescent="0.35">
      <c r="A25" s="1"/>
      <c r="B25" s="5"/>
      <c r="C25" s="32"/>
      <c r="D25" s="18"/>
      <c r="E25" s="18"/>
      <c r="F25" s="18"/>
      <c r="G25" s="18"/>
      <c r="H25" s="18"/>
      <c r="I25" s="307"/>
      <c r="J25" s="307"/>
      <c r="K25" s="307"/>
      <c r="L25" s="307"/>
      <c r="M25" s="307"/>
      <c r="N25" s="34"/>
      <c r="O25" s="34"/>
      <c r="P25" s="8"/>
      <c r="Q25" s="1"/>
    </row>
    <row r="26" spans="1:17" ht="155.25" customHeight="1" thickBot="1" x14ac:dyDescent="0.35">
      <c r="A26" s="1"/>
      <c r="B26" s="5"/>
      <c r="C26" s="90" t="s">
        <v>32</v>
      </c>
      <c r="D26" s="19"/>
      <c r="E26" s="150" t="str">
        <f>+IF(Hoja1!K2&gt;=0.5,"Si","No")</f>
        <v>Si</v>
      </c>
      <c r="F26" s="20"/>
      <c r="G26" s="151">
        <f>+Hoja1!K2</f>
        <v>0.75</v>
      </c>
      <c r="H26" s="20"/>
      <c r="I26" s="304" t="s">
        <v>221</v>
      </c>
      <c r="J26" s="305"/>
      <c r="K26" s="305"/>
      <c r="L26" s="305"/>
      <c r="M26" s="306"/>
      <c r="N26" s="35"/>
      <c r="O26" s="36"/>
      <c r="P26" s="21"/>
      <c r="Q26" s="22"/>
    </row>
    <row r="27" spans="1:17" ht="26.4" thickBot="1" x14ac:dyDescent="0.55000000000000004">
      <c r="A27" s="1"/>
      <c r="B27" s="5"/>
      <c r="C27" s="91"/>
      <c r="D27" s="23"/>
      <c r="E27" s="98"/>
      <c r="F27" s="18"/>
      <c r="G27" s="24"/>
      <c r="H27" s="18"/>
      <c r="I27" s="308"/>
      <c r="J27" s="308"/>
      <c r="K27" s="308"/>
      <c r="L27" s="308"/>
      <c r="M27" s="308"/>
      <c r="N27" s="37"/>
      <c r="O27" s="37"/>
      <c r="P27" s="8"/>
      <c r="Q27" s="1"/>
    </row>
    <row r="28" spans="1:17" ht="111.75" customHeight="1" thickBot="1" x14ac:dyDescent="0.35">
      <c r="A28" s="1"/>
      <c r="B28" s="5"/>
      <c r="C28" s="92" t="s">
        <v>135</v>
      </c>
      <c r="D28" s="19"/>
      <c r="E28" s="150" t="str">
        <f>+IF(Hoja1!K14&gt;=0.5,"Si","No")</f>
        <v>Si</v>
      </c>
      <c r="F28" s="18"/>
      <c r="G28" s="151">
        <f>+Hoja1!K14</f>
        <v>0.65</v>
      </c>
      <c r="H28" s="18"/>
      <c r="I28" s="300" t="s">
        <v>220</v>
      </c>
      <c r="J28" s="301"/>
      <c r="K28" s="301"/>
      <c r="L28" s="301"/>
      <c r="M28" s="302"/>
      <c r="N28" s="35"/>
      <c r="O28" s="35"/>
      <c r="P28" s="8"/>
      <c r="Q28" s="1"/>
    </row>
    <row r="29" spans="1:17" ht="26.4" thickBot="1" x14ac:dyDescent="0.55000000000000004">
      <c r="A29" s="1"/>
      <c r="B29" s="5"/>
      <c r="C29" s="91"/>
      <c r="D29" s="23"/>
      <c r="E29" s="98"/>
      <c r="F29" s="18"/>
      <c r="G29" s="24"/>
      <c r="H29" s="18"/>
      <c r="I29" s="308"/>
      <c r="J29" s="308"/>
      <c r="K29" s="308"/>
      <c r="L29" s="308"/>
      <c r="M29" s="308"/>
      <c r="N29" s="37"/>
      <c r="O29" s="37"/>
      <c r="P29" s="8"/>
      <c r="Q29" s="1"/>
    </row>
    <row r="30" spans="1:17" ht="123" customHeight="1" thickBot="1" x14ac:dyDescent="0.35">
      <c r="A30" s="1"/>
      <c r="B30" s="5"/>
      <c r="C30" s="93" t="s">
        <v>136</v>
      </c>
      <c r="D30" s="19"/>
      <c r="E30" s="150" t="str">
        <f>+IF(Hoja1!K24&gt;=0.5,"Si","No")</f>
        <v>Si</v>
      </c>
      <c r="F30" s="18"/>
      <c r="G30" s="151">
        <f>+Hoja1!K24</f>
        <v>0.6</v>
      </c>
      <c r="H30" s="18"/>
      <c r="I30" s="300" t="s">
        <v>220</v>
      </c>
      <c r="J30" s="301"/>
      <c r="K30" s="301"/>
      <c r="L30" s="301"/>
      <c r="M30" s="302"/>
      <c r="N30" s="35"/>
      <c r="O30" s="35"/>
      <c r="P30" s="8"/>
      <c r="Q30" s="1"/>
    </row>
    <row r="31" spans="1:17" ht="26.4" thickBot="1" x14ac:dyDescent="0.55000000000000004">
      <c r="A31" s="1"/>
      <c r="B31" s="5"/>
      <c r="C31" s="91"/>
      <c r="D31" s="23"/>
      <c r="E31" s="98"/>
      <c r="F31" s="18"/>
      <c r="G31" s="24"/>
      <c r="H31" s="18"/>
      <c r="I31" s="308"/>
      <c r="J31" s="308"/>
      <c r="K31" s="308"/>
      <c r="L31" s="308"/>
      <c r="M31" s="308"/>
      <c r="N31" s="37"/>
      <c r="O31" s="37"/>
      <c r="P31" s="8"/>
      <c r="Q31" s="1"/>
    </row>
    <row r="32" spans="1:17" ht="171" customHeight="1" thickBot="1" x14ac:dyDescent="0.35">
      <c r="A32" s="1"/>
      <c r="B32" s="5"/>
      <c r="C32" s="94" t="s">
        <v>87</v>
      </c>
      <c r="D32" s="19"/>
      <c r="E32" s="150" t="str">
        <f>+IF(Hoja1!K29&gt;=0.5,"Si","No")</f>
        <v>Si</v>
      </c>
      <c r="F32" s="18"/>
      <c r="G32" s="151">
        <f>+Hoja1!K29</f>
        <v>0.7142857142857143</v>
      </c>
      <c r="H32" s="18"/>
      <c r="I32" s="297" t="s">
        <v>224</v>
      </c>
      <c r="J32" s="298"/>
      <c r="K32" s="298"/>
      <c r="L32" s="298"/>
      <c r="M32" s="299"/>
      <c r="N32" s="35"/>
      <c r="O32" s="35"/>
      <c r="P32" s="8"/>
      <c r="Q32" s="1"/>
    </row>
    <row r="33" spans="1:17" ht="26.4" thickBot="1" x14ac:dyDescent="0.55000000000000004">
      <c r="A33" s="1"/>
      <c r="B33" s="5"/>
      <c r="C33" s="91"/>
      <c r="D33" s="23"/>
      <c r="E33" s="98"/>
      <c r="F33" s="18"/>
      <c r="G33" s="24"/>
      <c r="H33" s="18"/>
      <c r="I33" s="308"/>
      <c r="J33" s="308"/>
      <c r="K33" s="308"/>
      <c r="L33" s="308"/>
      <c r="M33" s="308"/>
      <c r="N33" s="37"/>
      <c r="O33" s="37"/>
      <c r="P33" s="8"/>
      <c r="Q33" s="1"/>
    </row>
    <row r="34" spans="1:17" ht="164.25" customHeight="1" thickBot="1" x14ac:dyDescent="0.35">
      <c r="A34" s="1"/>
      <c r="B34" s="5"/>
      <c r="C34" s="95" t="s">
        <v>137</v>
      </c>
      <c r="D34" s="19"/>
      <c r="E34" s="97" t="str">
        <f>+IF(Hoja1!K36&gt;=0.5,"Si","No")</f>
        <v>Si</v>
      </c>
      <c r="F34" s="18"/>
      <c r="G34" s="151">
        <f>+Hoja1!K36</f>
        <v>0.65</v>
      </c>
      <c r="H34" s="18"/>
      <c r="I34" s="297" t="s">
        <v>222</v>
      </c>
      <c r="J34" s="298"/>
      <c r="K34" s="298"/>
      <c r="L34" s="298"/>
      <c r="M34" s="299"/>
      <c r="N34" s="35"/>
      <c r="O34" s="35"/>
      <c r="P34" s="8"/>
      <c r="Q34" s="1"/>
    </row>
    <row r="35" spans="1:17" ht="15.6" x14ac:dyDescent="0.3">
      <c r="A35" s="1"/>
      <c r="B35" s="5"/>
      <c r="C35" s="25"/>
      <c r="D35" s="25"/>
      <c r="E35" s="15"/>
      <c r="F35" s="6"/>
      <c r="G35" s="6"/>
      <c r="H35" s="6"/>
      <c r="I35" s="6"/>
      <c r="J35" s="6"/>
      <c r="K35" s="6"/>
      <c r="L35" s="6"/>
      <c r="M35" s="26"/>
      <c r="N35" s="26"/>
      <c r="O35" s="26"/>
      <c r="P35" s="8"/>
      <c r="Q35" s="1"/>
    </row>
    <row r="36" spans="1:17" ht="15.6" x14ac:dyDescent="0.3">
      <c r="A36" s="1"/>
      <c r="B36" s="5"/>
      <c r="C36" s="27"/>
      <c r="D36" s="25"/>
      <c r="E36" s="15"/>
      <c r="F36" s="6"/>
      <c r="G36" s="6"/>
      <c r="H36" s="6"/>
      <c r="I36" s="6"/>
      <c r="J36" s="6"/>
      <c r="K36" s="6"/>
      <c r="L36" s="6"/>
      <c r="M36" s="26"/>
      <c r="N36" s="26"/>
      <c r="O36" s="26"/>
      <c r="P36" s="8"/>
      <c r="Q36" s="1"/>
    </row>
    <row r="37" spans="1:17" x14ac:dyDescent="0.3">
      <c r="A37" s="1"/>
      <c r="B37" s="5"/>
      <c r="C37" s="28"/>
      <c r="D37" s="6"/>
      <c r="E37" s="6"/>
      <c r="F37" s="6"/>
      <c r="G37" s="6"/>
      <c r="H37" s="6"/>
      <c r="I37" s="6"/>
      <c r="J37" s="6"/>
      <c r="K37" s="6"/>
      <c r="L37" s="6"/>
      <c r="M37" s="6"/>
      <c r="N37" s="6"/>
      <c r="O37" s="6"/>
      <c r="P37" s="8"/>
      <c r="Q37" s="1"/>
    </row>
    <row r="38" spans="1:17" ht="15" thickBot="1" x14ac:dyDescent="0.35">
      <c r="A38" s="1"/>
      <c r="B38" s="29"/>
      <c r="C38" s="30"/>
      <c r="D38" s="30"/>
      <c r="E38" s="30"/>
      <c r="F38" s="30"/>
      <c r="G38" s="30"/>
      <c r="H38" s="30"/>
      <c r="I38" s="30"/>
      <c r="J38" s="30"/>
      <c r="K38" s="30"/>
      <c r="L38" s="30"/>
      <c r="M38" s="30"/>
      <c r="N38" s="30"/>
      <c r="O38" s="30"/>
      <c r="P38" s="31"/>
      <c r="Q38" s="1"/>
    </row>
    <row r="39" spans="1:17" ht="15" thickTop="1" x14ac:dyDescent="0.3">
      <c r="A39" s="1"/>
      <c r="B39" s="1"/>
      <c r="C39" s="1"/>
      <c r="D39" s="1"/>
      <c r="E39" s="1"/>
      <c r="F39" s="1"/>
      <c r="G39" s="1"/>
      <c r="H39" s="1"/>
      <c r="I39" s="1"/>
      <c r="J39" s="1"/>
      <c r="K39" s="1"/>
      <c r="L39" s="1"/>
      <c r="M39" s="1"/>
      <c r="N39" s="1"/>
      <c r="O39" s="1"/>
      <c r="P39" s="1"/>
      <c r="Q39" s="1"/>
    </row>
    <row r="40" spans="1:17" x14ac:dyDescent="0.3">
      <c r="A40" s="1"/>
      <c r="B40" s="1"/>
      <c r="C40" s="1"/>
      <c r="D40" s="1"/>
      <c r="E40" s="1"/>
      <c r="F40" s="1"/>
      <c r="G40" s="1"/>
      <c r="H40" s="1"/>
      <c r="I40" s="1"/>
      <c r="J40" s="1"/>
      <c r="K40" s="1"/>
      <c r="L40" s="1"/>
      <c r="M40" s="1"/>
      <c r="N40" s="1"/>
      <c r="O40" s="1"/>
      <c r="P40" s="1"/>
      <c r="Q40" s="1"/>
    </row>
    <row r="41" spans="1:17" x14ac:dyDescent="0.3">
      <c r="A41" s="1"/>
      <c r="B41" s="1"/>
      <c r="C41" s="1"/>
      <c r="D41" s="1"/>
      <c r="E41" s="1"/>
      <c r="F41" s="1"/>
      <c r="G41" s="1"/>
      <c r="H41" s="1"/>
      <c r="I41" s="1"/>
      <c r="J41" s="1"/>
      <c r="K41" s="1"/>
      <c r="L41" s="1"/>
      <c r="M41" s="1"/>
      <c r="N41" s="1"/>
      <c r="O41" s="1"/>
      <c r="P41" s="1"/>
      <c r="Q41" s="1"/>
    </row>
  </sheetData>
  <sheetProtection algorithmName="SHA-512" hashValue="mur5Q3PEaZxn8LXLz/eSymodHMyMcb7gr8gXWBwpSU/m7uV0ZPVWkcKOdJlg0OS/SXBXX9P/iBb2vTO1mWy68A==" saltValue="abZlHLcGIMQMz4F8z7vkTw==" spinCount="100000" sheet="1" objects="1" scenarios="1" formatCells="0" formatRows="0"/>
  <mergeCells count="22">
    <mergeCell ref="C21:D21"/>
    <mergeCell ref="C22:D22"/>
    <mergeCell ref="E4:E5"/>
    <mergeCell ref="F4:M5"/>
    <mergeCell ref="F6:M6"/>
    <mergeCell ref="I8:K8"/>
    <mergeCell ref="C18:M18"/>
    <mergeCell ref="C20:D20"/>
    <mergeCell ref="F20:M20"/>
    <mergeCell ref="F21:M21"/>
    <mergeCell ref="F22:M22"/>
    <mergeCell ref="I34:M34"/>
    <mergeCell ref="I30:M30"/>
    <mergeCell ref="I32:M32"/>
    <mergeCell ref="I24:M24"/>
    <mergeCell ref="I26:M26"/>
    <mergeCell ref="I28:M28"/>
    <mergeCell ref="I25:M25"/>
    <mergeCell ref="I27:M27"/>
    <mergeCell ref="I29:M29"/>
    <mergeCell ref="I31:M31"/>
    <mergeCell ref="I33:M33"/>
  </mergeCells>
  <conditionalFormatting sqref="G26 G28 G30 G32 G34">
    <cfRule type="cellIs" priority="4" operator="between">
      <formula>0.75</formula>
      <formula>1</formula>
    </cfRule>
    <cfRule type="cellIs" dxfId="11" priority="5" operator="between">
      <formula>0.5</formula>
      <formula>0.75</formula>
    </cfRule>
    <cfRule type="cellIs" dxfId="10" priority="6" operator="between">
      <formula>0</formula>
      <formula>0.49</formula>
    </cfRule>
    <cfRule type="cellIs" dxfId="9" priority="31" operator="between">
      <formula>0.76</formula>
      <formula>1</formula>
    </cfRule>
    <cfRule type="cellIs" dxfId="8" priority="32" operator="between">
      <formula>0.51</formula>
      <formula>0.75</formula>
    </cfRule>
    <cfRule type="cellIs" dxfId="7" priority="33" operator="between">
      <formula>0.26</formula>
      <formula>0.5</formula>
    </cfRule>
  </conditionalFormatting>
  <conditionalFormatting sqref="M8">
    <cfRule type="cellIs" dxfId="6" priority="1" operator="between">
      <formula>0.75</formula>
      <formula>1</formula>
    </cfRule>
    <cfRule type="cellIs" dxfId="5" priority="2" operator="between">
      <formula>0.5</formula>
      <formula>0.75</formula>
    </cfRule>
    <cfRule type="cellIs" dxfId="4" priority="3" operator="between">
      <formula>0</formula>
      <formula>0.49</formula>
    </cfRule>
    <cfRule type="cellIs" priority="27" operator="between">
      <formula>0.76</formula>
      <formula>1</formula>
    </cfRule>
    <cfRule type="cellIs" dxfId="3" priority="28" operator="between">
      <formula>0.51</formula>
      <formula>0.75</formula>
    </cfRule>
    <cfRule type="cellIs" dxfId="2" priority="29" operator="between">
      <formula>0.26</formula>
      <formula>0.5</formula>
    </cfRule>
    <cfRule type="cellIs" dxfId="1" priority="30" operator="between">
      <formula>0</formula>
      <formula>0.25</formula>
    </cfRule>
  </conditionalFormatting>
  <dataValidations count="3">
    <dataValidation type="list" allowBlank="1" showInputMessage="1" showErrorMessage="1" sqref="E21:E22" xr:uid="{00000000-0002-0000-0300-000000000000}">
      <formula1>"Si, No"</formula1>
    </dataValidation>
    <dataValidation allowBlank="1" showInputMessage="1" showErrorMessage="1" prompt="Celda formulada, información proveniente de la pestaña de deficiencias." sqref="E24" xr:uid="{00000000-0002-0000-0300-000001000000}"/>
    <dataValidation type="list" allowBlank="1" showInputMessage="1" showErrorMessage="1" sqref="E20" xr:uid="{00000000-0002-0000-0300-000002000000}">
      <formula1>"Si,En proceso,No"</formula1>
    </dataValidation>
  </dataValidations>
  <pageMargins left="0.7" right="0.7" top="0.75" bottom="0.75" header="0.3" footer="0.3"/>
  <pageSetup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ellIs" priority="34" operator="between" id="{7ADAD4B9-72C7-4518-BD8A-A7D8DD349CD9}">
            <xm:f>0</xm:f>
            <xm:f>'\Users\dell\Desktop\cesar\HISTORICOS\[2020-04-22_Formato_informe_sci_parametrizado_final.xlsx]Analisis de Resultados'!#REF!</xm:f>
            <x14:dxf>
              <fill>
                <patternFill>
                  <bgColor rgb="FFFF0000"/>
                </patternFill>
              </fill>
            </x14:dxf>
          </x14:cfRule>
          <xm:sqref>G26 G28 G30 G32 G34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5"/>
  <sheetViews>
    <sheetView workbookViewId="0">
      <selection activeCell="F2" sqref="F2"/>
    </sheetView>
  </sheetViews>
  <sheetFormatPr baseColWidth="10" defaultColWidth="11.44140625" defaultRowHeight="14.4" x14ac:dyDescent="0.3"/>
  <cols>
    <col min="2" max="2" width="31" bestFit="1" customWidth="1"/>
    <col min="3" max="3" width="17.109375" customWidth="1"/>
    <col min="5" max="5" width="15.109375" customWidth="1"/>
    <col min="10" max="10" width="15.6640625" customWidth="1"/>
    <col min="11" max="11" width="12" bestFit="1" customWidth="1"/>
  </cols>
  <sheetData>
    <row r="1" spans="1:11" ht="84.75" customHeight="1" x14ac:dyDescent="0.3">
      <c r="A1" s="155" t="s">
        <v>25</v>
      </c>
      <c r="B1" s="155" t="s">
        <v>6</v>
      </c>
      <c r="C1" s="156" t="s">
        <v>8</v>
      </c>
      <c r="D1" s="157" t="s">
        <v>26</v>
      </c>
      <c r="E1" s="157" t="s">
        <v>27</v>
      </c>
      <c r="F1" s="157" t="s">
        <v>138</v>
      </c>
      <c r="G1" s="158" t="s">
        <v>139</v>
      </c>
      <c r="H1" s="158" t="s">
        <v>140</v>
      </c>
      <c r="I1" s="158" t="s">
        <v>119</v>
      </c>
      <c r="J1" s="158" t="s">
        <v>141</v>
      </c>
      <c r="K1" s="158" t="s">
        <v>142</v>
      </c>
    </row>
    <row r="2" spans="1:11" x14ac:dyDescent="0.3">
      <c r="A2" s="159" t="s">
        <v>143</v>
      </c>
      <c r="B2" s="159" t="str">
        <f>+VLOOKUP(A2,'Estado SCI'!$A$16:$C$59,3,0)</f>
        <v>AMBIENTE DE CONTROL</v>
      </c>
      <c r="C2" s="159" t="s">
        <v>33</v>
      </c>
      <c r="D2" s="159" t="s">
        <v>34</v>
      </c>
      <c r="E2" s="159" t="s">
        <v>35</v>
      </c>
      <c r="F2" s="159" t="str">
        <f>+VLOOKUP(A2,'Estado SCI'!$A$16:$I$59,9,0)</f>
        <v>Mantenimiento del control</v>
      </c>
      <c r="G2" s="159">
        <f>+VLOOKUP(A2,'Estado SCI'!$A$16:$L$59,12,0)</f>
        <v>20.123000000000001</v>
      </c>
      <c r="H2" s="159">
        <f t="shared" ref="H2:H45" si="0">+_xlfn.RANK.EQ(G2,$G$2:$G$45,1)</f>
        <v>6</v>
      </c>
      <c r="I2" s="159" t="str">
        <f>+IF(VLOOKUP(A2,'Estado SCI'!$A$16:$G$59,7,0)="","",VLOOKUP(A2,'Estado SCI'!$A$16:$G$59,7,0))</f>
        <v>Si</v>
      </c>
      <c r="J2" s="160">
        <f>+IF(I2="Si",1,IF(I2="En proceso",0.5,0))</f>
        <v>1</v>
      </c>
      <c r="K2" s="161">
        <f t="shared" ref="K2:K45" si="1">+AVERAGEIF($B$2:$B$45,B2,$J$2:$J$45)</f>
        <v>0.75</v>
      </c>
    </row>
    <row r="3" spans="1:11" x14ac:dyDescent="0.3">
      <c r="A3" s="159" t="s">
        <v>144</v>
      </c>
      <c r="B3" s="159" t="s">
        <v>32</v>
      </c>
      <c r="C3" s="159" t="s">
        <v>33</v>
      </c>
      <c r="D3" s="159" t="s">
        <v>37</v>
      </c>
      <c r="E3" s="159" t="s">
        <v>38</v>
      </c>
      <c r="F3" s="159" t="str">
        <f>+VLOOKUP(A3,'Estado SCI'!$A$16:$I$59,9,0)</f>
        <v>Mantenimiento del control</v>
      </c>
      <c r="G3" s="159">
        <f>+VLOOKUP(A3,'Estado SCI'!$A$16:$L$59,12,0)</f>
        <v>20.1234</v>
      </c>
      <c r="H3" s="159">
        <f t="shared" si="0"/>
        <v>7</v>
      </c>
      <c r="I3" s="159" t="str">
        <f>+IF(VLOOKUP(A3,'Estado SCI'!$A$16:$G$59,7,0)="","",VLOOKUP(A3,'Estado SCI'!$A$16:$G$59,7,0))</f>
        <v>Si</v>
      </c>
      <c r="J3" s="160">
        <f t="shared" ref="J3:J45" si="2">+IF(I3="Si",1,IF(I3="En proceso",0.5,0))</f>
        <v>1</v>
      </c>
      <c r="K3" s="161">
        <f t="shared" si="1"/>
        <v>0.75</v>
      </c>
    </row>
    <row r="4" spans="1:11" x14ac:dyDescent="0.3">
      <c r="A4" s="159" t="s">
        <v>145</v>
      </c>
      <c r="B4" s="159" t="s">
        <v>32</v>
      </c>
      <c r="C4" s="159" t="s">
        <v>33</v>
      </c>
      <c r="D4" s="159" t="s">
        <v>40</v>
      </c>
      <c r="E4" s="159" t="s">
        <v>41</v>
      </c>
      <c r="F4" s="159" t="str">
        <f>+VLOOKUP(A4,'Estado SCI'!$A$16:$I$59,9,0)</f>
        <v>Mantenimiento del control</v>
      </c>
      <c r="G4" s="159">
        <f>+VLOOKUP(A4,'Estado SCI'!$A$16:$L$59,12,0)</f>
        <v>20.123449999999998</v>
      </c>
      <c r="H4" s="159">
        <f t="shared" si="0"/>
        <v>8</v>
      </c>
      <c r="I4" s="159" t="str">
        <f>+IF(VLOOKUP(A4,'Estado SCI'!$A$16:$G$59,7,0)="","",VLOOKUP(A4,'Estado SCI'!$A$16:$G$59,7,0))</f>
        <v>Si</v>
      </c>
      <c r="J4" s="160">
        <f t="shared" si="2"/>
        <v>1</v>
      </c>
      <c r="K4" s="161">
        <f t="shared" si="1"/>
        <v>0.75</v>
      </c>
    </row>
    <row r="5" spans="1:11" x14ac:dyDescent="0.3">
      <c r="A5" s="159" t="s">
        <v>146</v>
      </c>
      <c r="B5" s="159" t="s">
        <v>32</v>
      </c>
      <c r="C5" s="159" t="s">
        <v>33</v>
      </c>
      <c r="D5" s="159" t="s">
        <v>42</v>
      </c>
      <c r="E5" s="159" t="s">
        <v>43</v>
      </c>
      <c r="F5" s="159" t="str">
        <f>+VLOOKUP(A5,'Estado SCI'!$A$16:$I$59,9,0)</f>
        <v>Mantenimiento del control</v>
      </c>
      <c r="G5" s="159">
        <f>+VLOOKUP(A5,'Estado SCI'!$A$16:$L$59,12,0)</f>
        <v>20.123456000000001</v>
      </c>
      <c r="H5" s="159">
        <f t="shared" si="0"/>
        <v>9</v>
      </c>
      <c r="I5" s="159" t="str">
        <f>+IF(VLOOKUP(A5,'Estado SCI'!$A$16:$G$59,7,0)="","",VLOOKUP(A5,'Estado SCI'!$A$16:$G$59,7,0))</f>
        <v>Si</v>
      </c>
      <c r="J5" s="160">
        <f t="shared" si="2"/>
        <v>1</v>
      </c>
      <c r="K5" s="161">
        <f t="shared" si="1"/>
        <v>0.75</v>
      </c>
    </row>
    <row r="6" spans="1:11" x14ac:dyDescent="0.3">
      <c r="A6" s="159" t="s">
        <v>147</v>
      </c>
      <c r="B6" s="159" t="s">
        <v>32</v>
      </c>
      <c r="C6" s="159" t="s">
        <v>33</v>
      </c>
      <c r="D6" s="159" t="s">
        <v>44</v>
      </c>
      <c r="E6" s="159" t="s">
        <v>45</v>
      </c>
      <c r="F6" s="159" t="str">
        <f>+VLOOKUP(A6,'Estado SCI'!$A$16:$I$59,9,0)</f>
        <v>Mantenimiento del control</v>
      </c>
      <c r="G6" s="159">
        <f>+VLOOKUP(A6,'Estado SCI'!$A$16:$L$59,12,0)</f>
        <v>20.123456780000001</v>
      </c>
      <c r="H6" s="159">
        <f t="shared" si="0"/>
        <v>10</v>
      </c>
      <c r="I6" s="159" t="str">
        <f>+IF(VLOOKUP(A6,'Estado SCI'!$A$16:$G$59,7,0)="","",VLOOKUP(A6,'Estado SCI'!$A$16:$G$59,7,0))</f>
        <v>Si</v>
      </c>
      <c r="J6" s="160">
        <f t="shared" si="2"/>
        <v>1</v>
      </c>
      <c r="K6" s="161">
        <f t="shared" si="1"/>
        <v>0.75</v>
      </c>
    </row>
    <row r="7" spans="1:11" x14ac:dyDescent="0.3">
      <c r="A7" s="159" t="s">
        <v>148</v>
      </c>
      <c r="B7" s="159" t="s">
        <v>32</v>
      </c>
      <c r="C7" s="159" t="s">
        <v>33</v>
      </c>
      <c r="D7" s="159" t="s">
        <v>46</v>
      </c>
      <c r="E7" s="159" t="s">
        <v>47</v>
      </c>
      <c r="F7" s="159" t="str">
        <f>+VLOOKUP(A7,'Estado SCI'!$A$16:$I$59,9,0)</f>
        <v>Oportunidad de mejora</v>
      </c>
      <c r="G7" s="159">
        <f>+VLOOKUP(A7,'Estado SCI'!$A$16:$L$59,12,0)</f>
        <v>10.123456789</v>
      </c>
      <c r="H7" s="159">
        <f t="shared" si="0"/>
        <v>2</v>
      </c>
      <c r="I7" s="159" t="str">
        <f>+IF(VLOOKUP(A7,'Estado SCI'!$A$16:$G$59,7,0)="","",VLOOKUP(A7,'Estado SCI'!$A$16:$G$59,7,0))</f>
        <v>En proceso</v>
      </c>
      <c r="J7" s="160">
        <f t="shared" si="2"/>
        <v>0.5</v>
      </c>
      <c r="K7" s="161">
        <f t="shared" si="1"/>
        <v>0.75</v>
      </c>
    </row>
    <row r="8" spans="1:11" x14ac:dyDescent="0.3">
      <c r="A8" s="159" t="s">
        <v>149</v>
      </c>
      <c r="B8" s="159" t="s">
        <v>32</v>
      </c>
      <c r="C8" s="159" t="s">
        <v>33</v>
      </c>
      <c r="D8" s="159" t="s">
        <v>48</v>
      </c>
      <c r="E8" s="159" t="s">
        <v>49</v>
      </c>
      <c r="F8" s="159" t="str">
        <f>+VLOOKUP(A8,'Estado SCI'!$A$16:$I$59,9,0)</f>
        <v>Mantenimiento del control</v>
      </c>
      <c r="G8" s="159">
        <f>+VLOOKUP(A8,'Estado SCI'!$A$16:$L$59,12,0)</f>
        <v>20.1234567891</v>
      </c>
      <c r="H8" s="159">
        <f t="shared" si="0"/>
        <v>11</v>
      </c>
      <c r="I8" s="159" t="str">
        <f>+IF(VLOOKUP(A8,'Estado SCI'!$A$16:$G$59,7,0)="","",VLOOKUP(A8,'Estado SCI'!$A$16:$G$59,7,0))</f>
        <v>Si</v>
      </c>
      <c r="J8" s="160">
        <f t="shared" si="2"/>
        <v>1</v>
      </c>
      <c r="K8" s="161">
        <f t="shared" si="1"/>
        <v>0.75</v>
      </c>
    </row>
    <row r="9" spans="1:11" x14ac:dyDescent="0.3">
      <c r="A9" s="159" t="s">
        <v>150</v>
      </c>
      <c r="B9" s="159" t="s">
        <v>32</v>
      </c>
      <c r="C9" s="159" t="s">
        <v>33</v>
      </c>
      <c r="D9" s="159" t="s">
        <v>50</v>
      </c>
      <c r="E9" s="159" t="s">
        <v>51</v>
      </c>
      <c r="F9" s="159" t="str">
        <f>+VLOOKUP(A9,'Estado SCI'!$A$16:$I$59,9,0)</f>
        <v>Oportunidad de mejora</v>
      </c>
      <c r="G9" s="159">
        <f>+VLOOKUP(A9,'Estado SCI'!$A$16:$L$59,12,0)</f>
        <v>10.12345678912</v>
      </c>
      <c r="H9" s="159">
        <f t="shared" si="0"/>
        <v>3</v>
      </c>
      <c r="I9" s="159" t="str">
        <f>+IF(VLOOKUP(A9,'Estado SCI'!$A$16:$G$59,7,0)="","",VLOOKUP(A9,'Estado SCI'!$A$16:$G$59,7,0))</f>
        <v>En proceso</v>
      </c>
      <c r="J9" s="160">
        <f t="shared" si="2"/>
        <v>0.5</v>
      </c>
      <c r="K9" s="161">
        <f t="shared" si="1"/>
        <v>0.75</v>
      </c>
    </row>
    <row r="10" spans="1:11" x14ac:dyDescent="0.3">
      <c r="A10" s="159" t="s">
        <v>151</v>
      </c>
      <c r="B10" s="159" t="s">
        <v>32</v>
      </c>
      <c r="C10" s="159" t="s">
        <v>33</v>
      </c>
      <c r="D10" s="159" t="s">
        <v>52</v>
      </c>
      <c r="E10" s="159" t="s">
        <v>53</v>
      </c>
      <c r="F10" s="159" t="str">
        <f>+VLOOKUP(A10,'Estado SCI'!$A$16:$I$59,9,0)</f>
        <v>Oportunidad de mejora</v>
      </c>
      <c r="G10" s="159">
        <f>+VLOOKUP(A10,'Estado SCI'!$A$16:$L$59,12,0)</f>
        <v>10.123456789123001</v>
      </c>
      <c r="H10" s="159">
        <f t="shared" si="0"/>
        <v>4</v>
      </c>
      <c r="I10" s="159" t="str">
        <f>+IF(VLOOKUP(A10,'Estado SCI'!$A$16:$G$59,7,0)="","",VLOOKUP(A10,'Estado SCI'!$A$16:$G$59,7,0))</f>
        <v>En proceso</v>
      </c>
      <c r="J10" s="160">
        <f t="shared" si="2"/>
        <v>0.5</v>
      </c>
      <c r="K10" s="161">
        <f t="shared" si="1"/>
        <v>0.75</v>
      </c>
    </row>
    <row r="11" spans="1:11" x14ac:dyDescent="0.3">
      <c r="A11" s="159" t="s">
        <v>152</v>
      </c>
      <c r="B11" s="159" t="s">
        <v>32</v>
      </c>
      <c r="C11" s="159" t="s">
        <v>33</v>
      </c>
      <c r="D11" s="159" t="s">
        <v>54</v>
      </c>
      <c r="E11" s="159" t="s">
        <v>55</v>
      </c>
      <c r="F11" s="159" t="str">
        <f>+VLOOKUP(A11,'Estado SCI'!$A$16:$I$59,9,0)</f>
        <v>Deficiencia de control</v>
      </c>
      <c r="G11" s="159">
        <f>+VLOOKUP(A11,'Estado SCI'!$A$16:$L$59,12,0)</f>
        <v>0.1234567891234</v>
      </c>
      <c r="H11" s="159">
        <f t="shared" si="0"/>
        <v>1</v>
      </c>
      <c r="I11" s="159" t="str">
        <f>+IF(VLOOKUP(A11,'Estado SCI'!$A$16:$G$59,7,0)="","",VLOOKUP(A11,'Estado SCI'!$A$16:$G$59,7,0))</f>
        <v>No</v>
      </c>
      <c r="J11" s="160">
        <f t="shared" si="2"/>
        <v>0</v>
      </c>
      <c r="K11" s="161">
        <f t="shared" si="1"/>
        <v>0.75</v>
      </c>
    </row>
    <row r="12" spans="1:11" x14ac:dyDescent="0.3">
      <c r="A12" s="159" t="s">
        <v>153</v>
      </c>
      <c r="B12" s="159" t="s">
        <v>32</v>
      </c>
      <c r="C12" s="159" t="s">
        <v>33</v>
      </c>
      <c r="D12" s="159" t="s">
        <v>56</v>
      </c>
      <c r="E12" s="159" t="s">
        <v>57</v>
      </c>
      <c r="F12" s="159" t="str">
        <f>+VLOOKUP(A12,'Estado SCI'!$A$16:$I$59,9,0)</f>
        <v>Oportunidad de mejora</v>
      </c>
      <c r="G12" s="159">
        <f>+VLOOKUP(A12,'Estado SCI'!$A$16:$L$59,12,0)</f>
        <v>10.12345678912345</v>
      </c>
      <c r="H12" s="159">
        <f t="shared" si="0"/>
        <v>5</v>
      </c>
      <c r="I12" s="159" t="str">
        <f>+IF(VLOOKUP(A12,'Estado SCI'!$A$16:$G$59,7,0)="","",VLOOKUP(A12,'Estado SCI'!$A$16:$G$59,7,0))</f>
        <v>En proceso</v>
      </c>
      <c r="J12" s="160">
        <f t="shared" si="2"/>
        <v>0.5</v>
      </c>
      <c r="K12" s="161">
        <f t="shared" si="1"/>
        <v>0.75</v>
      </c>
    </row>
    <row r="13" spans="1:11" x14ac:dyDescent="0.3">
      <c r="A13" s="159" t="s">
        <v>154</v>
      </c>
      <c r="B13" s="159" t="s">
        <v>32</v>
      </c>
      <c r="C13" s="159" t="s">
        <v>33</v>
      </c>
      <c r="D13" s="159" t="s">
        <v>58</v>
      </c>
      <c r="E13" s="159" t="s">
        <v>59</v>
      </c>
      <c r="F13" s="159" t="str">
        <f>+VLOOKUP(A13,'Estado SCI'!$A$16:$I$59,9,0)</f>
        <v>Mantenimiento del control</v>
      </c>
      <c r="G13" s="159">
        <f>+VLOOKUP(A13,'Estado SCI'!$A$16:$L$59,12,0)</f>
        <v>20.123456789123455</v>
      </c>
      <c r="H13" s="159">
        <f t="shared" si="0"/>
        <v>12</v>
      </c>
      <c r="I13" s="159" t="str">
        <f>+IF(VLOOKUP(A13,'Estado SCI'!$A$16:$G$59,7,0)="","",VLOOKUP(A13,'Estado SCI'!$A$16:$G$59,7,0))</f>
        <v>Si</v>
      </c>
      <c r="J13" s="160">
        <f t="shared" si="2"/>
        <v>1</v>
      </c>
      <c r="K13" s="161">
        <f t="shared" si="1"/>
        <v>0.75</v>
      </c>
    </row>
    <row r="14" spans="1:11" ht="15" customHeight="1" x14ac:dyDescent="0.3">
      <c r="A14" s="159" t="s">
        <v>155</v>
      </c>
      <c r="B14" s="159" t="str">
        <f>+VLOOKUP(A14,'Estado SCI'!$A$16:$C$59,3,0)</f>
        <v>EVALUACION DEL RIESGO</v>
      </c>
      <c r="C14" s="159" t="s">
        <v>62</v>
      </c>
      <c r="D14" s="159" t="s">
        <v>34</v>
      </c>
      <c r="E14" s="159" t="s">
        <v>156</v>
      </c>
      <c r="F14" s="159" t="str">
        <f>+VLOOKUP(A14,'Estado SCI'!$A$16:$I$59,9,0)</f>
        <v>Oportunidad de mejora</v>
      </c>
      <c r="G14" s="159">
        <f>+VLOOKUP(A14,'Estado SCI'!$A$16:$L$59,12,0)</f>
        <v>30.23</v>
      </c>
      <c r="H14" s="159">
        <f t="shared" si="0"/>
        <v>13</v>
      </c>
      <c r="I14" s="159" t="str">
        <f>+IF(VLOOKUP(A14,'Estado SCI'!$A$16:$G$59,7,0)="","",VLOOKUP(A14,'Estado SCI'!$A$16:$G$59,7,0))</f>
        <v>En proceso</v>
      </c>
      <c r="J14" s="160">
        <f t="shared" si="2"/>
        <v>0.5</v>
      </c>
      <c r="K14" s="161">
        <f t="shared" si="1"/>
        <v>0.65</v>
      </c>
    </row>
    <row r="15" spans="1:11" ht="15" customHeight="1" x14ac:dyDescent="0.3">
      <c r="A15" s="159" t="s">
        <v>157</v>
      </c>
      <c r="B15" s="159" t="s">
        <v>61</v>
      </c>
      <c r="C15" s="159" t="s">
        <v>62</v>
      </c>
      <c r="D15" s="159" t="s">
        <v>37</v>
      </c>
      <c r="E15" s="159" t="s">
        <v>158</v>
      </c>
      <c r="F15" s="159" t="str">
        <f>+VLOOKUP(A15,'Estado SCI'!$A$16:$I$59,9,0)</f>
        <v>Oportunidad de mejora</v>
      </c>
      <c r="G15" s="159">
        <f>+VLOOKUP(A15,'Estado SCI'!$A$16:$L$59,12,0)</f>
        <v>30.234000000000002</v>
      </c>
      <c r="H15" s="159">
        <f t="shared" si="0"/>
        <v>14</v>
      </c>
      <c r="I15" s="159" t="str">
        <f>+IF(VLOOKUP(A15,'Estado SCI'!$A$16:$G$59,7,0)="","",VLOOKUP(A15,'Estado SCI'!$A$16:$G$59,7,0))</f>
        <v>En proceso</v>
      </c>
      <c r="J15" s="160">
        <f t="shared" si="2"/>
        <v>0.5</v>
      </c>
      <c r="K15" s="161">
        <f t="shared" si="1"/>
        <v>0.65</v>
      </c>
    </row>
    <row r="16" spans="1:11" ht="15" customHeight="1" x14ac:dyDescent="0.3">
      <c r="A16" s="159" t="s">
        <v>159</v>
      </c>
      <c r="B16" s="159" t="s">
        <v>61</v>
      </c>
      <c r="C16" s="159" t="s">
        <v>62</v>
      </c>
      <c r="D16" s="159" t="s">
        <v>40</v>
      </c>
      <c r="E16" s="159" t="s">
        <v>160</v>
      </c>
      <c r="F16" s="159" t="str">
        <f>+VLOOKUP(A16,'Estado SCI'!$A$16:$I$59,9,0)</f>
        <v>Oportunidad de mejora</v>
      </c>
      <c r="G16" s="159">
        <f>+VLOOKUP(A16,'Estado SCI'!$A$16:$L$59,12,0)</f>
        <v>30.234500000000001</v>
      </c>
      <c r="H16" s="159">
        <f t="shared" si="0"/>
        <v>15</v>
      </c>
      <c r="I16" s="159" t="str">
        <f>+IF(VLOOKUP(A16,'Estado SCI'!$A$16:$G$59,7,0)="","",VLOOKUP(A16,'Estado SCI'!$A$16:$G$59,7,0))</f>
        <v>En proceso</v>
      </c>
      <c r="J16" s="160">
        <f t="shared" si="2"/>
        <v>0.5</v>
      </c>
      <c r="K16" s="161">
        <f t="shared" si="1"/>
        <v>0.65</v>
      </c>
    </row>
    <row r="17" spans="1:11" ht="15.75" customHeight="1" x14ac:dyDescent="0.3">
      <c r="A17" s="159" t="s">
        <v>161</v>
      </c>
      <c r="B17" s="159" t="s">
        <v>61</v>
      </c>
      <c r="C17" s="159" t="s">
        <v>62</v>
      </c>
      <c r="D17" s="159" t="s">
        <v>42</v>
      </c>
      <c r="E17" s="159" t="s">
        <v>66</v>
      </c>
      <c r="F17" s="159" t="str">
        <f>+VLOOKUP(A17,'Estado SCI'!$A$16:$I$59,9,0)</f>
        <v>Oportunidad de mejora</v>
      </c>
      <c r="G17" s="159">
        <f>+VLOOKUP(A17,'Estado SCI'!$A$16:$L$59,12,0)</f>
        <v>30.234559999999998</v>
      </c>
      <c r="H17" s="159">
        <f t="shared" si="0"/>
        <v>16</v>
      </c>
      <c r="I17" s="159" t="str">
        <f>+IF(VLOOKUP(A17,'Estado SCI'!$A$16:$G$59,7,0)="","",VLOOKUP(A17,'Estado SCI'!$A$16:$G$59,7,0))</f>
        <v>En proceso</v>
      </c>
      <c r="J17" s="160">
        <f t="shared" si="2"/>
        <v>0.5</v>
      </c>
      <c r="K17" s="161">
        <f t="shared" si="1"/>
        <v>0.65</v>
      </c>
    </row>
    <row r="18" spans="1:11" ht="15" customHeight="1" x14ac:dyDescent="0.3">
      <c r="A18" s="159" t="s">
        <v>162</v>
      </c>
      <c r="B18" s="159" t="s">
        <v>61</v>
      </c>
      <c r="C18" s="159" t="s">
        <v>80</v>
      </c>
      <c r="D18" s="159" t="s">
        <v>34</v>
      </c>
      <c r="E18" s="159" t="s">
        <v>69</v>
      </c>
      <c r="F18" s="159" t="str">
        <f>+VLOOKUP(A18,'Estado SCI'!$A$16:$I$59,9,0)</f>
        <v>Oportunidad de mejora</v>
      </c>
      <c r="G18" s="159">
        <f>+VLOOKUP(A18,'Estado SCI'!$A$16:$L$59,12,0)</f>
        <v>30.234566999999998</v>
      </c>
      <c r="H18" s="159">
        <f t="shared" si="0"/>
        <v>17</v>
      </c>
      <c r="I18" s="159" t="str">
        <f>+IF(VLOOKUP(A18,'Estado SCI'!$A$16:$G$59,7,0)="","",VLOOKUP(A18,'Estado SCI'!$A$16:$G$59,7,0))</f>
        <v>En proceso</v>
      </c>
      <c r="J18" s="160">
        <f t="shared" si="2"/>
        <v>0.5</v>
      </c>
      <c r="K18" s="161">
        <f t="shared" si="1"/>
        <v>0.65</v>
      </c>
    </row>
    <row r="19" spans="1:11" ht="15" customHeight="1" x14ac:dyDescent="0.3">
      <c r="A19" s="159" t="s">
        <v>163</v>
      </c>
      <c r="B19" s="159" t="s">
        <v>61</v>
      </c>
      <c r="C19" s="159" t="s">
        <v>80</v>
      </c>
      <c r="D19" s="159" t="s">
        <v>37</v>
      </c>
      <c r="E19" s="159" t="s">
        <v>70</v>
      </c>
      <c r="F19" s="159" t="str">
        <f>+VLOOKUP(A19,'Estado SCI'!$A$16:$I$59,9,0)</f>
        <v>Oportunidad de mejora</v>
      </c>
      <c r="G19" s="159">
        <f>+VLOOKUP(A19,'Estado SCI'!$A$16:$L$59,12,0)</f>
        <v>30.234567800000001</v>
      </c>
      <c r="H19" s="159">
        <f t="shared" si="0"/>
        <v>18</v>
      </c>
      <c r="I19" s="159" t="str">
        <f>+IF(VLOOKUP(A19,'Estado SCI'!$A$16:$G$59,7,0)="","",VLOOKUP(A19,'Estado SCI'!$A$16:$G$59,7,0))</f>
        <v>En proceso</v>
      </c>
      <c r="J19" s="160">
        <f t="shared" si="2"/>
        <v>0.5</v>
      </c>
      <c r="K19" s="161">
        <f t="shared" si="1"/>
        <v>0.65</v>
      </c>
    </row>
    <row r="20" spans="1:11" ht="15" customHeight="1" x14ac:dyDescent="0.3">
      <c r="A20" s="159" t="s">
        <v>164</v>
      </c>
      <c r="B20" s="159" t="s">
        <v>61</v>
      </c>
      <c r="C20" s="159" t="s">
        <v>80</v>
      </c>
      <c r="D20" s="159" t="s">
        <v>40</v>
      </c>
      <c r="E20" s="159" t="s">
        <v>71</v>
      </c>
      <c r="F20" s="159" t="str">
        <f>+VLOOKUP(A20,'Estado SCI'!$A$16:$I$59,9,0)</f>
        <v>Oportunidad de mejora</v>
      </c>
      <c r="G20" s="159">
        <f>+VLOOKUP(A20,'Estado SCI'!$A$16:$L$59,12,0)</f>
        <v>30.234567890000001</v>
      </c>
      <c r="H20" s="159">
        <f t="shared" si="0"/>
        <v>19</v>
      </c>
      <c r="I20" s="159" t="str">
        <f>+IF(VLOOKUP(A20,'Estado SCI'!$A$16:$G$59,7,0)="","",VLOOKUP(A20,'Estado SCI'!$A$16:$G$59,7,0))</f>
        <v>En proceso</v>
      </c>
      <c r="J20" s="160">
        <f t="shared" si="2"/>
        <v>0.5</v>
      </c>
      <c r="K20" s="161">
        <f t="shared" si="1"/>
        <v>0.65</v>
      </c>
    </row>
    <row r="21" spans="1:11" ht="15.75" customHeight="1" x14ac:dyDescent="0.3">
      <c r="A21" s="159" t="s">
        <v>165</v>
      </c>
      <c r="B21" s="159" t="s">
        <v>61</v>
      </c>
      <c r="C21" s="159" t="s">
        <v>80</v>
      </c>
      <c r="D21" s="159" t="s">
        <v>34</v>
      </c>
      <c r="E21" s="159" t="s">
        <v>74</v>
      </c>
      <c r="F21" s="159" t="str">
        <f>+VLOOKUP(A21,'Estado SCI'!$A$16:$I$59,9,0)</f>
        <v>Mantenimiento del control</v>
      </c>
      <c r="G21" s="159">
        <f>+VLOOKUP(A21,'Estado SCI'!$A$16:$L$59,12,0)</f>
        <v>40.234567891200001</v>
      </c>
      <c r="H21" s="159">
        <f t="shared" si="0"/>
        <v>20</v>
      </c>
      <c r="I21" s="159" t="str">
        <f>+IF(VLOOKUP(A21,'Estado SCI'!$A$16:$G$59,7,0)="","",VLOOKUP(A21,'Estado SCI'!$A$16:$G$59,7,0))</f>
        <v>Si</v>
      </c>
      <c r="J21" s="160">
        <f t="shared" si="2"/>
        <v>1</v>
      </c>
      <c r="K21" s="161">
        <f t="shared" si="1"/>
        <v>0.65</v>
      </c>
    </row>
    <row r="22" spans="1:11" ht="15" customHeight="1" x14ac:dyDescent="0.3">
      <c r="A22" s="159" t="s">
        <v>166</v>
      </c>
      <c r="B22" s="159" t="s">
        <v>61</v>
      </c>
      <c r="C22" s="159" t="s">
        <v>88</v>
      </c>
      <c r="D22" s="159" t="s">
        <v>37</v>
      </c>
      <c r="E22" s="159" t="s">
        <v>75</v>
      </c>
      <c r="F22" s="159" t="str">
        <f>+VLOOKUP(A22,'Estado SCI'!$A$16:$I$59,9,0)</f>
        <v>Mantenimiento del control</v>
      </c>
      <c r="G22" s="159">
        <f>+VLOOKUP(A22,'Estado SCI'!$A$16:$L$59,12,0)</f>
        <v>40.23456789123</v>
      </c>
      <c r="H22" s="159">
        <f t="shared" si="0"/>
        <v>21</v>
      </c>
      <c r="I22" s="159" t="str">
        <f>+IF(VLOOKUP(A22,'Estado SCI'!$A$16:$G$59,7,0)="","",VLOOKUP(A22,'Estado SCI'!$A$16:$G$59,7,0))</f>
        <v>Si</v>
      </c>
      <c r="J22" s="160">
        <f t="shared" si="2"/>
        <v>1</v>
      </c>
      <c r="K22" s="161">
        <f t="shared" si="1"/>
        <v>0.65</v>
      </c>
    </row>
    <row r="23" spans="1:11" ht="15" customHeight="1" x14ac:dyDescent="0.3">
      <c r="A23" s="159" t="s">
        <v>167</v>
      </c>
      <c r="B23" s="159" t="s">
        <v>61</v>
      </c>
      <c r="C23" s="159" t="s">
        <v>88</v>
      </c>
      <c r="D23" s="159" t="s">
        <v>40</v>
      </c>
      <c r="E23" s="159" t="s">
        <v>77</v>
      </c>
      <c r="F23" s="159" t="str">
        <f>+VLOOKUP(A23,'Estado SCI'!$A$16:$I$59,9,0)</f>
        <v>Mantenimiento del control</v>
      </c>
      <c r="G23" s="159">
        <f>+VLOOKUP(A23,'Estado SCI'!$A$16:$L$59,12,0)</f>
        <v>40.234567891234001</v>
      </c>
      <c r="H23" s="159">
        <f t="shared" si="0"/>
        <v>22</v>
      </c>
      <c r="I23" s="159" t="str">
        <f>+IF(VLOOKUP(A23,'Estado SCI'!$A$16:$G$59,7,0)="","",VLOOKUP(A23,'Estado SCI'!$A$16:$G$59,7,0))</f>
        <v>Si</v>
      </c>
      <c r="J23" s="160">
        <f t="shared" si="2"/>
        <v>1</v>
      </c>
      <c r="K23" s="161">
        <f t="shared" si="1"/>
        <v>0.65</v>
      </c>
    </row>
    <row r="24" spans="1:11" ht="15" customHeight="1" x14ac:dyDescent="0.3">
      <c r="A24" s="159" t="s">
        <v>168</v>
      </c>
      <c r="B24" s="159" t="str">
        <f>+VLOOKUP(A24,'Estado SCI'!$A$16:$C$59,3,0)</f>
        <v>ACTIVIDADES DE CONTROL</v>
      </c>
      <c r="C24" s="159" t="s">
        <v>88</v>
      </c>
      <c r="D24" s="159" t="s">
        <v>34</v>
      </c>
      <c r="E24" s="159" t="s">
        <v>81</v>
      </c>
      <c r="F24" s="159" t="str">
        <f>+VLOOKUP(A24,'Estado SCI'!$A$16:$I$59,9,0)</f>
        <v>Oportunidad de mejora</v>
      </c>
      <c r="G24" s="159">
        <f>+VLOOKUP(A24,'Estado SCI'!$A$16:$L$59,12,0)</f>
        <v>50.31</v>
      </c>
      <c r="H24" s="159">
        <f t="shared" si="0"/>
        <v>23</v>
      </c>
      <c r="I24" s="159" t="str">
        <f>+IF(VLOOKUP(A24,'Estado SCI'!$A$16:$G$59,7,0)="","",VLOOKUP(A24,'Estado SCI'!$A$16:$G$59,7,0))</f>
        <v>En proceso</v>
      </c>
      <c r="J24" s="160">
        <f t="shared" si="2"/>
        <v>0.5</v>
      </c>
      <c r="K24" s="161">
        <f t="shared" si="1"/>
        <v>0.6</v>
      </c>
    </row>
    <row r="25" spans="1:11" ht="15" customHeight="1" x14ac:dyDescent="0.3">
      <c r="A25" s="159" t="s">
        <v>169</v>
      </c>
      <c r="B25" s="159" t="s">
        <v>79</v>
      </c>
      <c r="C25" s="159" t="s">
        <v>88</v>
      </c>
      <c r="D25" s="159" t="s">
        <v>37</v>
      </c>
      <c r="E25" s="159" t="s">
        <v>82</v>
      </c>
      <c r="F25" s="159" t="str">
        <f>+VLOOKUP(A25,'Estado SCI'!$A$16:$I$59,9,0)</f>
        <v>Oportunidad de mejora</v>
      </c>
      <c r="G25" s="159">
        <f>+VLOOKUP(A25,'Estado SCI'!$A$16:$L$59,12,0)</f>
        <v>50.323</v>
      </c>
      <c r="H25" s="159">
        <f t="shared" si="0"/>
        <v>24</v>
      </c>
      <c r="I25" s="159" t="str">
        <f>+IF(VLOOKUP(A25,'Estado SCI'!$A$16:$G$59,7,0)="","",VLOOKUP(A25,'Estado SCI'!$A$16:$G$59,7,0))</f>
        <v>En proceso</v>
      </c>
      <c r="J25" s="160">
        <f t="shared" si="2"/>
        <v>0.5</v>
      </c>
      <c r="K25" s="161">
        <f t="shared" si="1"/>
        <v>0.6</v>
      </c>
    </row>
    <row r="26" spans="1:11" ht="15" customHeight="1" x14ac:dyDescent="0.3">
      <c r="A26" s="159" t="s">
        <v>170</v>
      </c>
      <c r="B26" s="159" t="s">
        <v>79</v>
      </c>
      <c r="C26" s="159" t="s">
        <v>88</v>
      </c>
      <c r="D26" s="159" t="s">
        <v>40</v>
      </c>
      <c r="E26" s="159" t="s">
        <v>83</v>
      </c>
      <c r="F26" s="159" t="str">
        <f>+VLOOKUP(A26,'Estado SCI'!$A$16:$I$59,9,0)</f>
        <v>Oportunidad de mejora</v>
      </c>
      <c r="G26" s="159">
        <f>+VLOOKUP(A26,'Estado SCI'!$A$16:$L$59,12,0)</f>
        <v>50.323999999999998</v>
      </c>
      <c r="H26" s="159">
        <f t="shared" si="0"/>
        <v>25</v>
      </c>
      <c r="I26" s="159" t="str">
        <f>+IF(VLOOKUP(A26,'Estado SCI'!$A$16:$G$59,7,0)="","",VLOOKUP(A26,'Estado SCI'!$A$16:$G$59,7,0))</f>
        <v>En proceso</v>
      </c>
      <c r="J26" s="160">
        <f t="shared" si="2"/>
        <v>0.5</v>
      </c>
      <c r="K26" s="161">
        <f t="shared" si="1"/>
        <v>0.6</v>
      </c>
    </row>
    <row r="27" spans="1:11" ht="15.75" customHeight="1" x14ac:dyDescent="0.3">
      <c r="A27" s="159" t="s">
        <v>171</v>
      </c>
      <c r="B27" s="159" t="s">
        <v>79</v>
      </c>
      <c r="C27" s="159" t="s">
        <v>88</v>
      </c>
      <c r="D27" s="159" t="s">
        <v>42</v>
      </c>
      <c r="E27" s="159" t="s">
        <v>84</v>
      </c>
      <c r="F27" s="159" t="str">
        <f>+VLOOKUP(A27,'Estado SCI'!$A$16:$I$59,9,0)</f>
        <v>Oportunidad de mejora</v>
      </c>
      <c r="G27" s="159">
        <f>+VLOOKUP(A27,'Estado SCI'!$A$16:$L$59,12,0)</f>
        <v>50.325000000000003</v>
      </c>
      <c r="H27" s="159">
        <f t="shared" si="0"/>
        <v>26</v>
      </c>
      <c r="I27" s="159" t="str">
        <f>+IF(VLOOKUP(A27,'Estado SCI'!$A$16:$G$59,7,0)="","",VLOOKUP(A27,'Estado SCI'!$A$16:$G$59,7,0))</f>
        <v>En proceso</v>
      </c>
      <c r="J27" s="160">
        <f t="shared" si="2"/>
        <v>0.5</v>
      </c>
      <c r="K27" s="161">
        <f t="shared" si="1"/>
        <v>0.6</v>
      </c>
    </row>
    <row r="28" spans="1:11" ht="15" customHeight="1" x14ac:dyDescent="0.3">
      <c r="A28" s="159" t="s">
        <v>172</v>
      </c>
      <c r="B28" s="159" t="s">
        <v>79</v>
      </c>
      <c r="C28" s="159" t="s">
        <v>98</v>
      </c>
      <c r="D28" s="159" t="s">
        <v>44</v>
      </c>
      <c r="E28" s="159" t="s">
        <v>85</v>
      </c>
      <c r="F28" s="159" t="str">
        <f>+VLOOKUP(A28,'Estado SCI'!$A$16:$I$59,9,0)</f>
        <v>Mantenimiento del control</v>
      </c>
      <c r="G28" s="159">
        <f>+VLOOKUP(A28,'Estado SCI'!$A$16:$L$59,12,0)</f>
        <v>60.326000000000001</v>
      </c>
      <c r="H28" s="159">
        <f t="shared" si="0"/>
        <v>27</v>
      </c>
      <c r="I28" s="159" t="str">
        <f>+IF(VLOOKUP(A28,'Estado SCI'!$A$16:$G$59,7,0)="","",VLOOKUP(A28,'Estado SCI'!$A$16:$G$59,7,0))</f>
        <v>Si</v>
      </c>
      <c r="J28" s="160">
        <f t="shared" si="2"/>
        <v>1</v>
      </c>
      <c r="K28" s="161">
        <f t="shared" si="1"/>
        <v>0.6</v>
      </c>
    </row>
    <row r="29" spans="1:11" ht="15" customHeight="1" x14ac:dyDescent="0.3">
      <c r="A29" s="159" t="s">
        <v>173</v>
      </c>
      <c r="B29" s="159" t="str">
        <f>+VLOOKUP(A29,'Estado SCI'!$A$16:$C$59,3,0)</f>
        <v>INFORMACION Y COMUNICACIÓN</v>
      </c>
      <c r="C29" s="159" t="s">
        <v>98</v>
      </c>
      <c r="D29" s="159" t="s">
        <v>34</v>
      </c>
      <c r="E29" s="159" t="s">
        <v>89</v>
      </c>
      <c r="F29" s="159" t="str">
        <f>+VLOOKUP(A29,'Estado SCI'!$A$16:$I$59,9,0)</f>
        <v>Mantenimiento del control</v>
      </c>
      <c r="G29" s="159">
        <f>+VLOOKUP(A29,'Estado SCI'!$A$16:$L$59,12,0)</f>
        <v>80.412000000000006</v>
      </c>
      <c r="H29" s="159">
        <f t="shared" si="0"/>
        <v>32</v>
      </c>
      <c r="I29" s="159" t="str">
        <f>+IF(VLOOKUP(A29,'Estado SCI'!$A$16:$G$59,7,0)="","",VLOOKUP(A29,'Estado SCI'!$A$16:$G$59,7,0))</f>
        <v>Si</v>
      </c>
      <c r="J29" s="160">
        <f t="shared" si="2"/>
        <v>1</v>
      </c>
      <c r="K29" s="161">
        <f t="shared" si="1"/>
        <v>0.7142857142857143</v>
      </c>
    </row>
    <row r="30" spans="1:11" ht="15" customHeight="1" x14ac:dyDescent="0.3">
      <c r="A30" s="159" t="s">
        <v>174</v>
      </c>
      <c r="B30" s="159" t="s">
        <v>87</v>
      </c>
      <c r="C30" s="159" t="s">
        <v>98</v>
      </c>
      <c r="D30" s="159" t="s">
        <v>37</v>
      </c>
      <c r="E30" s="159" t="s">
        <v>90</v>
      </c>
      <c r="F30" s="159" t="str">
        <f>+VLOOKUP(A30,'Estado SCI'!$A$16:$I$59,9,0)</f>
        <v>Mantenimiento del control</v>
      </c>
      <c r="G30" s="159">
        <f>+VLOOKUP(A30,'Estado SCI'!$A$16:$L$59,12,0)</f>
        <v>80.412300000000002</v>
      </c>
      <c r="H30" s="159">
        <f t="shared" si="0"/>
        <v>33</v>
      </c>
      <c r="I30" s="159" t="str">
        <f>+IF(VLOOKUP(A30,'Estado SCI'!$A$16:$G$59,7,0)="","",VLOOKUP(A30,'Estado SCI'!$A$16:$G$59,7,0))</f>
        <v>Si</v>
      </c>
      <c r="J30" s="160">
        <f t="shared" si="2"/>
        <v>1</v>
      </c>
      <c r="K30" s="161">
        <f t="shared" si="1"/>
        <v>0.7142857142857143</v>
      </c>
    </row>
    <row r="31" spans="1:11" ht="15.75" customHeight="1" x14ac:dyDescent="0.3">
      <c r="A31" s="159" t="s">
        <v>175</v>
      </c>
      <c r="B31" s="159" t="s">
        <v>87</v>
      </c>
      <c r="C31" s="159" t="s">
        <v>98</v>
      </c>
      <c r="D31" s="159" t="s">
        <v>40</v>
      </c>
      <c r="E31" s="159" t="s">
        <v>91</v>
      </c>
      <c r="F31" s="159" t="str">
        <f>+VLOOKUP(A31,'Estado SCI'!$A$16:$I$59,9,0)</f>
        <v>Mantenimiento del control</v>
      </c>
      <c r="G31" s="159">
        <f>+VLOOKUP(A31,'Estado SCI'!$A$16:$L$59,12,0)</f>
        <v>80.41234</v>
      </c>
      <c r="H31" s="159">
        <f t="shared" si="0"/>
        <v>34</v>
      </c>
      <c r="I31" s="159" t="str">
        <f>+IF(VLOOKUP(A31,'Estado SCI'!$A$16:$G$59,7,0)="","",VLOOKUP(A31,'Estado SCI'!$A$16:$G$59,7,0))</f>
        <v>Si</v>
      </c>
      <c r="J31" s="160">
        <f t="shared" si="2"/>
        <v>1</v>
      </c>
      <c r="K31" s="161">
        <f t="shared" si="1"/>
        <v>0.7142857142857143</v>
      </c>
    </row>
    <row r="32" spans="1:11" x14ac:dyDescent="0.3">
      <c r="A32" s="159" t="s">
        <v>176</v>
      </c>
      <c r="B32" s="159" t="s">
        <v>87</v>
      </c>
      <c r="C32" s="159" t="s">
        <v>104</v>
      </c>
      <c r="D32" s="159" t="s">
        <v>42</v>
      </c>
      <c r="E32" s="159" t="s">
        <v>92</v>
      </c>
      <c r="F32" s="159" t="str">
        <f>+VLOOKUP(A32,'Estado SCI'!$A$16:$I$59,9,0)</f>
        <v>Oportunidad de mejora</v>
      </c>
      <c r="G32" s="159">
        <f>+VLOOKUP(A32,'Estado SCI'!$A$16:$L$59,12,0)</f>
        <v>70.412345000000002</v>
      </c>
      <c r="H32" s="159">
        <f t="shared" si="0"/>
        <v>28</v>
      </c>
      <c r="I32" s="159" t="str">
        <f>+IF(VLOOKUP(A32,'Estado SCI'!$A$16:$G$59,7,0)="","",VLOOKUP(A32,'Estado SCI'!$A$16:$G$59,7,0))</f>
        <v>En proceso</v>
      </c>
      <c r="J32" s="160">
        <f t="shared" si="2"/>
        <v>0.5</v>
      </c>
      <c r="K32" s="161">
        <f t="shared" si="1"/>
        <v>0.7142857142857143</v>
      </c>
    </row>
    <row r="33" spans="1:11" x14ac:dyDescent="0.3">
      <c r="A33" s="159" t="s">
        <v>177</v>
      </c>
      <c r="B33" s="159" t="s">
        <v>87</v>
      </c>
      <c r="C33" s="159" t="s">
        <v>178</v>
      </c>
      <c r="D33" s="159" t="s">
        <v>44</v>
      </c>
      <c r="E33" s="159" t="s">
        <v>93</v>
      </c>
      <c r="F33" s="159" t="str">
        <f>+VLOOKUP(A33,'Estado SCI'!$A$16:$I$59,9,0)</f>
        <v>Oportunidad de mejora</v>
      </c>
      <c r="G33" s="159">
        <f>+VLOOKUP(A33,'Estado SCI'!$A$16:$L$59,12,0)</f>
        <v>70.412345599999995</v>
      </c>
      <c r="H33" s="159">
        <f t="shared" si="0"/>
        <v>29</v>
      </c>
      <c r="I33" s="159" t="str">
        <f>+IF(VLOOKUP(A33,'Estado SCI'!$A$16:$G$59,7,0)="","",VLOOKUP(A33,'Estado SCI'!$A$16:$G$59,7,0))</f>
        <v>En proceso</v>
      </c>
      <c r="J33" s="160">
        <f t="shared" si="2"/>
        <v>0.5</v>
      </c>
      <c r="K33" s="161">
        <f t="shared" si="1"/>
        <v>0.7142857142857143</v>
      </c>
    </row>
    <row r="34" spans="1:11" x14ac:dyDescent="0.3">
      <c r="A34" s="159" t="s">
        <v>179</v>
      </c>
      <c r="B34" s="159" t="s">
        <v>87</v>
      </c>
      <c r="C34" s="159" t="s">
        <v>178</v>
      </c>
      <c r="D34" s="159" t="s">
        <v>46</v>
      </c>
      <c r="E34" s="159" t="s">
        <v>94</v>
      </c>
      <c r="F34" s="159" t="str">
        <f>+VLOOKUP(A34,'Estado SCI'!$A$16:$I$59,9,0)</f>
        <v>Oportunidad de mejora</v>
      </c>
      <c r="G34" s="159">
        <f>+VLOOKUP(A34,'Estado SCI'!$A$16:$L$59,12,0)</f>
        <v>70.412345669999993</v>
      </c>
      <c r="H34" s="159">
        <f t="shared" si="0"/>
        <v>30</v>
      </c>
      <c r="I34" s="159" t="str">
        <f>+IF(VLOOKUP(A34,'Estado SCI'!$A$16:$G$59,7,0)="","",VLOOKUP(A34,'Estado SCI'!$A$16:$G$59,7,0))</f>
        <v>En proceso</v>
      </c>
      <c r="J34" s="160">
        <f t="shared" si="2"/>
        <v>0.5</v>
      </c>
      <c r="K34" s="161">
        <f t="shared" si="1"/>
        <v>0.7142857142857143</v>
      </c>
    </row>
    <row r="35" spans="1:11" x14ac:dyDescent="0.3">
      <c r="A35" s="159" t="s">
        <v>180</v>
      </c>
      <c r="B35" s="159" t="s">
        <v>87</v>
      </c>
      <c r="C35" s="159" t="s">
        <v>178</v>
      </c>
      <c r="D35" s="159" t="s">
        <v>48</v>
      </c>
      <c r="E35" s="159" t="s">
        <v>95</v>
      </c>
      <c r="F35" s="159" t="str">
        <f>+VLOOKUP(A35,'Estado SCI'!$A$16:$I$59,9,0)</f>
        <v>Oportunidad de mejora</v>
      </c>
      <c r="G35" s="159">
        <f>+VLOOKUP(A35,'Estado SCI'!$A$16:$L$59,12,0)</f>
        <v>70.412345677999994</v>
      </c>
      <c r="H35" s="159">
        <f t="shared" si="0"/>
        <v>31</v>
      </c>
      <c r="I35" s="159" t="str">
        <f>+IF(VLOOKUP(A35,'Estado SCI'!$A$16:$G$59,7,0)="","",VLOOKUP(A35,'Estado SCI'!$A$16:$G$59,7,0))</f>
        <v>En proceso</v>
      </c>
      <c r="J35" s="160">
        <f t="shared" si="2"/>
        <v>0.5</v>
      </c>
      <c r="K35" s="161">
        <f t="shared" si="1"/>
        <v>0.7142857142857143</v>
      </c>
    </row>
    <row r="36" spans="1:11" x14ac:dyDescent="0.3">
      <c r="A36" s="159" t="s">
        <v>181</v>
      </c>
      <c r="B36" s="159" t="str">
        <f>+VLOOKUP(A36,'Estado SCI'!$A$16:$C$59,3,0)</f>
        <v>ACTIVIDADES DE MONITOREO</v>
      </c>
      <c r="C36" s="159" t="s">
        <v>178</v>
      </c>
      <c r="D36" s="159" t="s">
        <v>34</v>
      </c>
      <c r="E36" s="159" t="s">
        <v>99</v>
      </c>
      <c r="F36" s="159" t="str">
        <f>+VLOOKUP(A36,'Estado SCI'!$A$16:$I$59,9,0)</f>
        <v>Oportunidad de mejora</v>
      </c>
      <c r="G36" s="159">
        <f>+VLOOKUP(A36,'Estado SCI'!$A$16:$L$59,12,0)</f>
        <v>100.851</v>
      </c>
      <c r="H36" s="159">
        <f t="shared" si="0"/>
        <v>35</v>
      </c>
      <c r="I36" s="159" t="str">
        <f>+IF(VLOOKUP(A36,'Estado SCI'!$A$16:$G$59,7,0)="","",VLOOKUP(A36,'Estado SCI'!$A$16:$G$59,7,0))</f>
        <v>En proceso</v>
      </c>
      <c r="J36" s="160">
        <f t="shared" si="2"/>
        <v>0.5</v>
      </c>
      <c r="K36" s="161">
        <f t="shared" si="1"/>
        <v>0.65</v>
      </c>
    </row>
    <row r="37" spans="1:11" x14ac:dyDescent="0.3">
      <c r="A37" s="159" t="s">
        <v>182</v>
      </c>
      <c r="B37" s="159" t="s">
        <v>97</v>
      </c>
      <c r="C37" s="159" t="s">
        <v>178</v>
      </c>
      <c r="D37" s="159" t="s">
        <v>42</v>
      </c>
      <c r="E37" s="159" t="s">
        <v>100</v>
      </c>
      <c r="F37" s="159" t="str">
        <f>+VLOOKUP(A37,'Estado SCI'!$A$16:$I$59,9,0)</f>
        <v>Oportunidad de mejora</v>
      </c>
      <c r="G37" s="159">
        <f>+VLOOKUP(A37,'Estado SCI'!$A$16:$L$59,12,0)</f>
        <v>100.85120000000001</v>
      </c>
      <c r="H37" s="159">
        <f t="shared" si="0"/>
        <v>36</v>
      </c>
      <c r="I37" s="159" t="str">
        <f>+IF(VLOOKUP(A37,'Estado SCI'!$A$16:$G$59,7,0)="","",VLOOKUP(A37,'Estado SCI'!$A$16:$G$59,7,0))</f>
        <v>En proceso</v>
      </c>
      <c r="J37" s="160">
        <f t="shared" si="2"/>
        <v>0.5</v>
      </c>
      <c r="K37" s="161">
        <f t="shared" si="1"/>
        <v>0.65</v>
      </c>
    </row>
    <row r="38" spans="1:11" x14ac:dyDescent="0.3">
      <c r="A38" s="159" t="s">
        <v>183</v>
      </c>
      <c r="B38" s="159" t="s">
        <v>97</v>
      </c>
      <c r="C38" s="159" t="s">
        <v>68</v>
      </c>
      <c r="D38" s="159" t="s">
        <v>46</v>
      </c>
      <c r="E38" s="159" t="s">
        <v>101</v>
      </c>
      <c r="F38" s="159" t="str">
        <f>+VLOOKUP(A38,'Estado SCI'!$A$16:$I$59,9,0)</f>
        <v>Mantenimiento del control</v>
      </c>
      <c r="G38" s="159">
        <f>+VLOOKUP(A38,'Estado SCI'!$A$16:$L$59,12,0)</f>
        <v>120.85123</v>
      </c>
      <c r="H38" s="159">
        <f t="shared" si="0"/>
        <v>42</v>
      </c>
      <c r="I38" s="159" t="str">
        <f>+IF(VLOOKUP(A38,'Estado SCI'!$A$16:$G$59,7,0)="","",VLOOKUP(A38,'Estado SCI'!$A$16:$G$59,7,0))</f>
        <v>Si</v>
      </c>
      <c r="J38" s="160">
        <f t="shared" si="2"/>
        <v>1</v>
      </c>
      <c r="K38" s="161">
        <f t="shared" si="1"/>
        <v>0.65</v>
      </c>
    </row>
    <row r="39" spans="1:11" x14ac:dyDescent="0.3">
      <c r="A39" s="159" t="s">
        <v>184</v>
      </c>
      <c r="B39" s="159" t="s">
        <v>97</v>
      </c>
      <c r="C39" s="159" t="s">
        <v>68</v>
      </c>
      <c r="D39" s="159" t="s">
        <v>48</v>
      </c>
      <c r="E39" s="159" t="s">
        <v>102</v>
      </c>
      <c r="F39" s="159" t="str">
        <f>+VLOOKUP(A39,'Estado SCI'!$A$16:$I$59,9,0)</f>
        <v>Mantenimiento del control</v>
      </c>
      <c r="G39" s="159">
        <f>+VLOOKUP(A39,'Estado SCI'!$A$16:$L$59,12,0)</f>
        <v>120.85123400000001</v>
      </c>
      <c r="H39" s="159">
        <f t="shared" si="0"/>
        <v>43</v>
      </c>
      <c r="I39" s="159" t="str">
        <f>+IF(VLOOKUP(A39,'Estado SCI'!$A$16:$G$59,7,0)="","",VLOOKUP(A39,'Estado SCI'!$A$16:$G$59,7,0))</f>
        <v>Si</v>
      </c>
      <c r="J39" s="160">
        <f t="shared" si="2"/>
        <v>1</v>
      </c>
      <c r="K39" s="161">
        <f t="shared" si="1"/>
        <v>0.65</v>
      </c>
    </row>
    <row r="40" spans="1:11" x14ac:dyDescent="0.3">
      <c r="A40" s="159" t="s">
        <v>185</v>
      </c>
      <c r="B40" s="159" t="s">
        <v>97</v>
      </c>
      <c r="C40" s="159" t="s">
        <v>68</v>
      </c>
      <c r="D40" s="159" t="s">
        <v>50</v>
      </c>
      <c r="E40" s="159" t="s">
        <v>105</v>
      </c>
      <c r="F40" s="159" t="str">
        <f>+VLOOKUP(A40,'Estado SCI'!$A$16:$I$59,9,0)</f>
        <v>Mantenimiento del control</v>
      </c>
      <c r="G40" s="159">
        <f>+VLOOKUP(A40,'Estado SCI'!$A$16:$L$59,12,0)</f>
        <v>120.8512345</v>
      </c>
      <c r="H40" s="159">
        <f t="shared" si="0"/>
        <v>44</v>
      </c>
      <c r="I40" s="159" t="str">
        <f>+IF(VLOOKUP(A40,'Estado SCI'!$A$16:$G$59,7,0)="","",VLOOKUP(A40,'Estado SCI'!$A$16:$G$59,7,0))</f>
        <v>Si</v>
      </c>
      <c r="J40" s="160">
        <f t="shared" si="2"/>
        <v>1</v>
      </c>
      <c r="K40" s="161">
        <f t="shared" si="1"/>
        <v>0.65</v>
      </c>
    </row>
    <row r="41" spans="1:11" x14ac:dyDescent="0.3">
      <c r="A41" s="159" t="s">
        <v>186</v>
      </c>
      <c r="B41" s="159" t="s">
        <v>97</v>
      </c>
      <c r="C41" s="159" t="s">
        <v>68</v>
      </c>
      <c r="D41" s="159" t="s">
        <v>34</v>
      </c>
      <c r="E41" s="159" t="s">
        <v>108</v>
      </c>
      <c r="F41" s="159" t="str">
        <f>+VLOOKUP(A41,'Estado SCI'!$A$16:$I$59,9,0)</f>
        <v>Oportunidad de mejora</v>
      </c>
      <c r="G41" s="159">
        <f>+VLOOKUP(A41,'Estado SCI'!$A$16:$L$59,12,0)</f>
        <v>100.85123455999999</v>
      </c>
      <c r="H41" s="159">
        <f t="shared" si="0"/>
        <v>37</v>
      </c>
      <c r="I41" s="159" t="str">
        <f>+IF(VLOOKUP(A41,'Estado SCI'!$A$16:$G$59,7,0)="","",VLOOKUP(A41,'Estado SCI'!$A$16:$G$59,7,0))</f>
        <v>En proceso</v>
      </c>
      <c r="J41" s="160">
        <f t="shared" si="2"/>
        <v>0.5</v>
      </c>
      <c r="K41" s="161">
        <f t="shared" si="1"/>
        <v>0.65</v>
      </c>
    </row>
    <row r="42" spans="1:11" x14ac:dyDescent="0.3">
      <c r="A42" s="159" t="s">
        <v>187</v>
      </c>
      <c r="B42" s="159" t="s">
        <v>97</v>
      </c>
      <c r="C42" s="159" t="s">
        <v>73</v>
      </c>
      <c r="D42" s="159" t="s">
        <v>37</v>
      </c>
      <c r="E42" s="159" t="s">
        <v>109</v>
      </c>
      <c r="F42" s="159" t="str">
        <f>+VLOOKUP(A42,'Estado SCI'!$A$16:$I$59,9,0)</f>
        <v>Oportunidad de mejora</v>
      </c>
      <c r="G42" s="159">
        <f>+VLOOKUP(A42,'Estado SCI'!$A$16:$L$59,12,0)</f>
        <v>100.85123456700001</v>
      </c>
      <c r="H42" s="159">
        <f t="shared" si="0"/>
        <v>38</v>
      </c>
      <c r="I42" s="159" t="str">
        <f>+IF(VLOOKUP(A42,'Estado SCI'!$A$16:$G$59,7,0)="","",VLOOKUP(A42,'Estado SCI'!$A$16:$G$59,7,0))</f>
        <v>En proceso</v>
      </c>
      <c r="J42" s="160">
        <f t="shared" si="2"/>
        <v>0.5</v>
      </c>
      <c r="K42" s="161">
        <f t="shared" si="1"/>
        <v>0.65</v>
      </c>
    </row>
    <row r="43" spans="1:11" x14ac:dyDescent="0.3">
      <c r="A43" s="159" t="s">
        <v>188</v>
      </c>
      <c r="B43" s="159" t="s">
        <v>97</v>
      </c>
      <c r="C43" s="159" t="s">
        <v>73</v>
      </c>
      <c r="D43" s="159" t="s">
        <v>40</v>
      </c>
      <c r="E43" s="159" t="s">
        <v>110</v>
      </c>
      <c r="F43" s="159" t="str">
        <f>+VLOOKUP(A43,'Estado SCI'!$A$16:$I$59,9,0)</f>
        <v>Oportunidad de mejora</v>
      </c>
      <c r="G43" s="159">
        <f>+VLOOKUP(A43,'Estado SCI'!$A$16:$L$59,12,0)</f>
        <v>100.85123456780001</v>
      </c>
      <c r="H43" s="159">
        <f t="shared" si="0"/>
        <v>39</v>
      </c>
      <c r="I43" s="159" t="str">
        <f>+IF(VLOOKUP(A43,'Estado SCI'!$A$16:$G$59,7,0)="","",VLOOKUP(A43,'Estado SCI'!$A$16:$G$59,7,0))</f>
        <v>En proceso</v>
      </c>
      <c r="J43" s="160">
        <f t="shared" si="2"/>
        <v>0.5</v>
      </c>
      <c r="K43" s="161">
        <f t="shared" si="1"/>
        <v>0.65</v>
      </c>
    </row>
    <row r="44" spans="1:11" x14ac:dyDescent="0.3">
      <c r="A44" s="159" t="s">
        <v>189</v>
      </c>
      <c r="B44" s="159" t="s">
        <v>97</v>
      </c>
      <c r="C44" s="159" t="s">
        <v>73</v>
      </c>
      <c r="D44" s="159" t="s">
        <v>42</v>
      </c>
      <c r="E44" s="159" t="s">
        <v>111</v>
      </c>
      <c r="F44" s="159" t="str">
        <f>+VLOOKUP(A44,'Estado SCI'!$A$16:$I$59,9,0)</f>
        <v>Oportunidad de mejora</v>
      </c>
      <c r="G44" s="159">
        <f>+VLOOKUP(A44,'Estado SCI'!$A$16:$L$59,12,0)</f>
        <v>100.85123456789</v>
      </c>
      <c r="H44" s="159">
        <f t="shared" si="0"/>
        <v>40</v>
      </c>
      <c r="I44" s="159" t="str">
        <f>+IF(VLOOKUP(A44,'Estado SCI'!$A$16:$G$59,7,0)="","",VLOOKUP(A44,'Estado SCI'!$A$16:$G$59,7,0))</f>
        <v>En proceso</v>
      </c>
      <c r="J44" s="160">
        <f t="shared" si="2"/>
        <v>0.5</v>
      </c>
      <c r="K44" s="161">
        <f t="shared" si="1"/>
        <v>0.65</v>
      </c>
    </row>
    <row r="45" spans="1:11" x14ac:dyDescent="0.3">
      <c r="A45" s="159" t="s">
        <v>190</v>
      </c>
      <c r="B45" s="159" t="s">
        <v>97</v>
      </c>
      <c r="C45" s="159" t="s">
        <v>73</v>
      </c>
      <c r="D45" s="159" t="s">
        <v>44</v>
      </c>
      <c r="E45" s="159" t="s">
        <v>112</v>
      </c>
      <c r="F45" s="159" t="str">
        <f>+VLOOKUP(A45,'Estado SCI'!$A$16:$I$59,9,0)</f>
        <v>Oportunidad de mejora</v>
      </c>
      <c r="G45" s="159">
        <f>+VLOOKUP(A45,'Estado SCI'!$A$16:$L$59,12,0)</f>
        <v>100.851234567891</v>
      </c>
      <c r="H45" s="159">
        <f t="shared" si="0"/>
        <v>41</v>
      </c>
      <c r="I45" s="159" t="str">
        <f>+IF(VLOOKUP(A45,'Estado SCI'!$A$16:$G$59,7,0)="","",VLOOKUP(A45,'Estado SCI'!$A$16:$G$59,7,0))</f>
        <v>En proceso</v>
      </c>
      <c r="J45" s="160">
        <f t="shared" si="2"/>
        <v>0.5</v>
      </c>
      <c r="K45" s="161">
        <f t="shared" si="1"/>
        <v>0.65</v>
      </c>
    </row>
  </sheetData>
  <sheetProtection algorithmName="SHA-512" hashValue="eXgkKlTi9xJKAI7t6Aeb2RaFpkfyF43pI2BIhtxDc7hsl0SqLK8I4Wc7jbZwC5kw3uyIHOBIUXRnh5cC70LKYA==" saltValue="AxKzX6Ar80vT7acQV8rFpQ==" spinCount="100000" sheet="1" objects="1" scenarios="1" selectLockedCells="1"/>
  <autoFilter ref="A1:K45"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Instructivo</vt:lpstr>
      <vt:lpstr>Estado SCI</vt:lpstr>
      <vt:lpstr>Análisis Resultados</vt:lpstr>
      <vt:lpstr>Conclusión</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Sala Juntas Piso 6</dc:creator>
  <cp:keywords/>
  <dc:description/>
  <cp:lastModifiedBy>john jairo varon</cp:lastModifiedBy>
  <cp:revision/>
  <dcterms:created xsi:type="dcterms:W3CDTF">2020-04-28T13:58:09Z</dcterms:created>
  <dcterms:modified xsi:type="dcterms:W3CDTF">2020-08-20T16:53:03Z</dcterms:modified>
  <cp:category/>
  <cp:contentStatus/>
</cp:coreProperties>
</file>