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24226"/>
  <xr:revisionPtr revIDLastSave="0" documentId="13_ncr:1_{F25D212F-7B15-42AB-B279-F747C6ACC75E}" xr6:coauthVersionLast="47" xr6:coauthVersionMax="47" xr10:uidLastSave="{00000000-0000-0000-0000-000000000000}"/>
  <bookViews>
    <workbookView xWindow="-120" yWindow="-120" windowWidth="29040" windowHeight="15840" tabRatio="460" activeTab="1" xr2:uid="{00000000-000D-0000-FFFF-FFFF00000000}"/>
  </bookViews>
  <sheets>
    <sheet name="USER.DEFINED.PARAMETERS" sheetId="22" r:id="rId1"/>
    <sheet name="FEED.INTAKE.PATTERN.LOPES.2016" sheetId="23" r:id="rId2"/>
  </sheets>
  <externalReferences>
    <externalReference r:id="rId3"/>
    <externalReference r:id="rId4"/>
    <externalReference r:id="rId5"/>
    <externalReference r:id="rId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3" l="1"/>
  <c r="G3" i="23"/>
  <c r="G4" i="23"/>
  <c r="G5" i="23"/>
  <c r="G6" i="23"/>
  <c r="G7" i="23"/>
  <c r="G8" i="23"/>
  <c r="G9" i="23"/>
  <c r="G10" i="23"/>
  <c r="G11" i="23"/>
  <c r="G12" i="23"/>
  <c r="G13" i="23"/>
  <c r="G14" i="23"/>
  <c r="G2" i="23"/>
  <c r="C14" i="23"/>
  <c r="C3" i="23"/>
  <c r="C4" i="23"/>
  <c r="C5" i="23"/>
  <c r="C6" i="23"/>
  <c r="C7" i="23"/>
  <c r="C8" i="23"/>
  <c r="C9" i="23"/>
  <c r="C10" i="23"/>
  <c r="C11" i="23"/>
  <c r="C12" i="23"/>
  <c r="C13" i="23"/>
  <c r="C2" i="23"/>
  <c r="E3" i="23"/>
  <c r="E4" i="23"/>
  <c r="E5" i="23"/>
  <c r="E6" i="23"/>
  <c r="E7" i="23"/>
  <c r="E8" i="23"/>
  <c r="E9" i="23"/>
  <c r="E10" i="23"/>
  <c r="E11" i="23"/>
  <c r="E12" i="23"/>
  <c r="E13" i="23"/>
  <c r="E14" i="23"/>
  <c r="E2" i="23"/>
  <c r="E13" i="22"/>
  <c r="E22" i="22" l="1"/>
  <c r="E24" i="22" l="1"/>
  <c r="E20" i="22" l="1"/>
  <c r="E19" i="22"/>
  <c r="E16" i="22"/>
  <c r="E15" i="22"/>
  <c r="E14" i="22"/>
  <c r="E12" i="22"/>
  <c r="E11" i="22"/>
  <c r="E10" i="22"/>
  <c r="E9" i="22"/>
  <c r="E8" i="22"/>
  <c r="E7" i="22"/>
  <c r="E6" i="22"/>
  <c r="E5" i="22"/>
  <c r="E3" i="22"/>
  <c r="E23" i="22"/>
  <c r="E21" i="22"/>
  <c r="E17" i="22"/>
  <c r="E2" i="22"/>
  <c r="E28" i="22"/>
  <c r="J5" i="23" l="1"/>
  <c r="E4" i="22"/>
  <c r="I2" i="23" l="1"/>
  <c r="J2" i="23" s="1"/>
  <c r="J9"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tc={401C2737-13E9-460D-AF0E-9B84E1E360F0}</author>
  </authors>
  <commentList>
    <comment ref="A1" authorId="0" shapeId="0" xr:uid="{401C2737-13E9-460D-AF0E-9B84E1E360F0}">
      <text>
        <t>[Threaded comment]
Your version of Excel allows you to read this threaded comment; however, any edits to it will get removed if the file is opened in a newer version of Excel. Learn more: https://go.microsoft.com/fwlink/?linkid=870924
Comment:
    Sources: https://github.com/linge006/Modeling-inhibited-methanogenesis/blob/main/FI_rate_Olijhoek_cntrl.csv
Reply:
    https://github.com/linge006/Modeling-inhibited-methanogenesis/blob/main/FI_rate_Olijhoek.csv</t>
      </text>
    </comment>
  </commentList>
</comments>
</file>

<file path=xl/sharedStrings.xml><?xml version="1.0" encoding="utf-8"?>
<sst xmlns="http://schemas.openxmlformats.org/spreadsheetml/2006/main" count="217" uniqueCount="120">
  <si>
    <t>parm.model.name</t>
  </si>
  <si>
    <t>aggregated.parm.name</t>
  </si>
  <si>
    <t>parm.model.description</t>
  </si>
  <si>
    <t>parm.model.unit</t>
  </si>
  <si>
    <t>parm.lit. value.1</t>
  </si>
  <si>
    <t>lit.value.1.units</t>
  </si>
  <si>
    <t>lit. parm.1.uncertainty</t>
  </si>
  <si>
    <t>lit. parm.1uncertainty.type</t>
  </si>
  <si>
    <t>lit. value.1.source</t>
  </si>
  <si>
    <t>notes</t>
  </si>
  <si>
    <t xml:space="preserve">DMI </t>
  </si>
  <si>
    <t>dry matter intake</t>
  </si>
  <si>
    <t>(grams/hour)</t>
  </si>
  <si>
    <t xml:space="preserve">FrFu </t>
  </si>
  <si>
    <t>fraction of undegradable fiber in feed</t>
  </si>
  <si>
    <t>(g/g DM)</t>
  </si>
  <si>
    <t>FrFd</t>
  </si>
  <si>
    <t>fraction of degradable fiber in feed</t>
  </si>
  <si>
    <t>FrSi</t>
  </si>
  <si>
    <t xml:space="preserve">fraction of insoluble [degradable] starch in feed </t>
  </si>
  <si>
    <t xml:space="preserve">FrWs </t>
  </si>
  <si>
    <t>fraction of water soluble carbohydrates [oligo-, di-, and mono-saccharides] in feed</t>
  </si>
  <si>
    <t>(g sugars/g DM)</t>
  </si>
  <si>
    <t xml:space="preserve">FrLa </t>
  </si>
  <si>
    <t>fraction of lactic acid in feed</t>
  </si>
  <si>
    <t>(g lactate/g DM)</t>
  </si>
  <si>
    <t xml:space="preserve">FrTg </t>
  </si>
  <si>
    <t>fraction of triacylglyercides in feed</t>
  </si>
  <si>
    <t>(grams crude fat/g DM)</t>
  </si>
  <si>
    <t xml:space="preserve">FrFaU </t>
  </si>
  <si>
    <t>fraction of unsaturated long chain fatty acids in feed</t>
  </si>
  <si>
    <t>FrFaS</t>
  </si>
  <si>
    <t>fraction of saturated long chain fatty acids in feed</t>
  </si>
  <si>
    <t>FrAm</t>
  </si>
  <si>
    <t>fraction of ammonia in feed</t>
  </si>
  <si>
    <t>(gram urea + NH3 / g DM)</t>
  </si>
  <si>
    <t>FrPs</t>
  </si>
  <si>
    <t>fraction of soluble protein in feed</t>
  </si>
  <si>
    <t>(g soluble CP/g DM)</t>
  </si>
  <si>
    <t>FrPi</t>
  </si>
  <si>
    <t>fractin of insoluble protein in feed</t>
  </si>
  <si>
    <t>(g CP - sol CP / g DM)</t>
  </si>
  <si>
    <t xml:space="preserve">FrAc </t>
  </si>
  <si>
    <t>fraction of acetic acid in feed</t>
  </si>
  <si>
    <t>(g acetate/g DM)</t>
  </si>
  <si>
    <t xml:space="preserve">FrBu </t>
  </si>
  <si>
    <t>fraction of butyric acid in feed</t>
  </si>
  <si>
    <t>(g butyrate/g DM)</t>
  </si>
  <si>
    <t xml:space="preserve">FrPr </t>
  </si>
  <si>
    <t>fraction of propionic acid in feed</t>
  </si>
  <si>
    <t>(g propionate/g DM)</t>
  </si>
  <si>
    <t xml:space="preserve">FrNOP </t>
  </si>
  <si>
    <t>fraction of NOP in feed</t>
  </si>
  <si>
    <t>(g NOP/g DM)</t>
  </si>
  <si>
    <t xml:space="preserve">FrBr </t>
  </si>
  <si>
    <t>fraction of Br in feed</t>
  </si>
  <si>
    <t>(g Bromoform/g DM)</t>
  </si>
  <si>
    <t xml:space="preserve">FrAsh </t>
  </si>
  <si>
    <t xml:space="preserve">fraction of Ash in feed </t>
  </si>
  <si>
    <t xml:space="preserve">FrDM </t>
  </si>
  <si>
    <t>fraction of DM in feed</t>
  </si>
  <si>
    <t>(g DM/g feed as fed)</t>
  </si>
  <si>
    <t>(g DM/g as fed)</t>
  </si>
  <si>
    <t>FrForage</t>
  </si>
  <si>
    <t>fraction of forage in feed</t>
  </si>
  <si>
    <t>FrNDF</t>
  </si>
  <si>
    <t>fraction of NDF in feed</t>
  </si>
  <si>
    <t>FrBicarb</t>
  </si>
  <si>
    <t>fraction of bicarbonate in feed</t>
  </si>
  <si>
    <t>milk</t>
  </si>
  <si>
    <t>daily milk production</t>
  </si>
  <si>
    <t>(kg/day)</t>
  </si>
  <si>
    <t>FrP</t>
  </si>
  <si>
    <t>fraction of total P  in feed</t>
  </si>
  <si>
    <t>(g P/g DM)</t>
  </si>
  <si>
    <t>FrDp</t>
  </si>
  <si>
    <t>fraction of digestible P  in feed</t>
  </si>
  <si>
    <t>(g/g dietary P)</t>
  </si>
  <si>
    <t>Kebreab et al 2004</t>
  </si>
  <si>
    <t>YEpEpMilk</t>
  </si>
  <si>
    <t>milk P concentration</t>
  </si>
  <si>
    <t xml:space="preserve">(g P/kg milk) </t>
  </si>
  <si>
    <t>frNO3H2O</t>
  </si>
  <si>
    <t>amount of NO3-nitrate in water</t>
  </si>
  <si>
    <t>(mol NO3/L)</t>
  </si>
  <si>
    <t>(g forage/g DIET AS FED)</t>
  </si>
  <si>
    <t>(grams starch/g DM)</t>
  </si>
  <si>
    <t>(g crude ash/g DM)</t>
  </si>
  <si>
    <t>(grams DM/hour)</t>
  </si>
  <si>
    <t>(g NDF/g DM)</t>
  </si>
  <si>
    <t>(g FaU/g DM)</t>
  </si>
  <si>
    <t>(g FaS/g DM)</t>
  </si>
  <si>
    <t>Castillo et al 2013</t>
  </si>
  <si>
    <t>var</t>
  </si>
  <si>
    <t>time</t>
  </si>
  <si>
    <t>value</t>
  </si>
  <si>
    <t>method</t>
  </si>
  <si>
    <t>intake</t>
  </si>
  <si>
    <t>replace</t>
  </si>
  <si>
    <t>Check--intake rate (/hr) * length of time</t>
  </si>
  <si>
    <t>intake--total over 24 hours (g)</t>
  </si>
  <si>
    <t>intake--total over 24 hours (kg)</t>
  </si>
  <si>
    <t>Actually daily DMI (kg)</t>
  </si>
  <si>
    <t xml:space="preserve">Difference </t>
  </si>
  <si>
    <t>(grams lignin/g DM)</t>
  </si>
  <si>
    <t>(grams NDF - lignin/g DM)</t>
  </si>
  <si>
    <t>(g calcium carbonate/g DM)</t>
  </si>
  <si>
    <t>Lopes et al 2016</t>
  </si>
  <si>
    <t>Lopes et al 2016 3NOP group</t>
  </si>
  <si>
    <t>Lopes et al 2016:</t>
  </si>
  <si>
    <t>Van Lingen 2021:</t>
  </si>
  <si>
    <t>"Inputs to the model were intake rate (shown in Figures 1, 2) and nutrient composition of DM (Table 4). These inputs were taken from Van Zijderveld et al. (2011), Veneman et al. (2015), and Olijhoek et al. (2016) for the NO3– models, whereas the inputs were taken from Haisan et al. (2014), Hristov et al. (2015), Lopes et al. (2016), Haisan et al. (2017), and Van Wesemael et al. (2019) for the 3-NOP models. Every simulation was based on a dietary treatment with the inclusion rates of 3-NOP and NO3– that was supplemented. If the feed intake rate in time was not reported, feed intake rates were scaled to Olijhoek et al. (2016) for ad libitum feeding and scaled to Van Lingen et al. (2017) for restricted feeding. This scaling was done based on the fraction of daily feed intake consumed per hour of a day."</t>
  </si>
  <si>
    <t>Olijhoek et al 2016:</t>
  </si>
  <si>
    <r>
      <t xml:space="preserve">"Diets were fed as </t>
    </r>
    <r>
      <rPr>
        <b/>
        <sz val="11"/>
        <color theme="1"/>
        <rFont val="Calibri"/>
        <family val="2"/>
        <scheme val="minor"/>
      </rPr>
      <t>TMR once daily</t>
    </r>
    <r>
      <rPr>
        <sz val="11"/>
        <color theme="1"/>
        <rFont val="Calibri"/>
        <family val="2"/>
        <scheme val="minor"/>
      </rPr>
      <t xml:space="preserve"> at 0800 h targeting 10% refusals."</t>
    </r>
  </si>
  <si>
    <r>
      <t>"Cows were fed ad libitum with</t>
    </r>
    <r>
      <rPr>
        <b/>
        <sz val="11"/>
        <color theme="1"/>
        <rFont val="Calibri"/>
        <family val="2"/>
        <scheme val="minor"/>
      </rPr>
      <t xml:space="preserve"> TMR twice a day (0630 and 1630 h)</t>
    </r>
    <r>
      <rPr>
        <sz val="11"/>
        <color theme="1"/>
        <rFont val="Calibri"/>
        <family val="2"/>
        <scheme val="minor"/>
      </rPr>
      <t>. Orts were collected daily before the morning feeding, and feed intake was determined on a daily basis. Fresh water was provided ad libitum and daily water intake was not corrected for eventual spill by the cows. Feed intake was monitored continuously on a built-in scale in the feeding trough of the respiration chamber during gas measurements."</t>
    </r>
  </si>
  <si>
    <t>So probably not appropriate to use this intake pattern for Lopes 2016 emissions data, where feeding was only once per day.</t>
  </si>
  <si>
    <t>Niu et al 2014, 2017, 2018</t>
  </si>
  <si>
    <t>All fed ad lib once per day as in Lopes 2016, so using average of those intake patterns here adjusted for feeding time of Lopes 2016</t>
  </si>
  <si>
    <t>hours since feeding</t>
  </si>
  <si>
    <t>intake--total over 24 hour2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</si>
</sst>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66FF66"/>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4" borderId="0" xfId="0" applyFont="1" applyFill="1"/>
    <xf numFmtId="0" fontId="0" fillId="6" borderId="0" xfId="0" applyFill="1"/>
    <xf numFmtId="0" fontId="0" fillId="7" borderId="0" xfId="0" applyFill="1"/>
    <xf numFmtId="0" fontId="1" fillId="5" borderId="0" xfId="0" applyFont="1" applyFill="1"/>
    <xf numFmtId="0" fontId="1" fillId="6" borderId="0" xfId="0" applyFont="1" applyFill="1"/>
    <xf numFmtId="0" fontId="1" fillId="7" borderId="0" xfId="0" applyFont="1" applyFill="1"/>
    <xf numFmtId="0" fontId="0" fillId="2" borderId="1" xfId="0" applyFill="1" applyBorder="1"/>
    <xf numFmtId="0" fontId="0" fillId="2" borderId="2" xfId="0" applyFill="1" applyBorder="1"/>
    <xf numFmtId="0" fontId="0" fillId="2" borderId="3"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7" xfId="0" applyFont="1" applyBorder="1"/>
    <xf numFmtId="0" fontId="3" fillId="0" borderId="0" xfId="0" applyFont="1"/>
  </cellXfs>
  <cellStyles count="1">
    <cellStyle name="Normal" xfId="0" builtinId="0"/>
  </cellStyles>
  <dxfs count="0"/>
  <tableStyles count="0" defaultTableStyle="TableStyleMedium9" defaultPivotStyle="PivotStyleLight16"/>
  <colors>
    <mruColors>
      <color rgb="FF66FF66"/>
      <color rgb="FFF612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file:///C:\Users\epress\Box\Research%20projects\Mech%20Model%20and%20Standards%20project\CA%20Mechanistic%20model\Parameters\Parms%20database\optimization%20parameter%20sets\literature%20diet%20composition%20calculation\3NOP\Lopes%20et%20al%202016%202.16.24.xlsx" TargetMode="External"/><Relationship Id="rId2" Type="http://schemas.microsoft.com/office/2019/04/relationships/externalLinkLongPath" Target="/Users/epress/Box/Research%20projects/Mech%20Model%20and%20Standards%20project/CA%20Mechanistic%20model/Parameters/Parms%20database/optimization%20parameter%20sets/literature%20diet%20composition%20calculation/3NOP/Lopes%20et%20al%202016%202.16.24.xlsx?AB0723D9" TargetMode="External"/><Relationship Id="rId1" Type="http://schemas.openxmlformats.org/officeDocument/2006/relationships/externalLinkPath" Target="file:///\\AB0723D9\Lopes%20et%20al%202016%202.16.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epress\AppData\Local\Box\Box%20Edit\Documents\iX4oRpI+LUK_DZjKp6XxmQ==\Niu%20et%20al%202017%20digitized%20feed%20intake%20pattern%203.5.24.xlsx" TargetMode="External"/><Relationship Id="rId1" Type="http://schemas.openxmlformats.org/officeDocument/2006/relationships/externalLinkPath" Target="/Users/epress/AppData/Local/Box/Box%20Edit/Documents/iX4oRpI+LUK_DZjKp6XxmQ==/Niu%20et%20al%202017%20digitized%20feed%20intake%20pattern%203.5.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epress\AppData\Local\Box\Box%20Edit\Documents\tsVUYqSxzkCreyZ8sv6v+A==\Niu%20et%20al%202014%20digitized%20feed%20intake%20pattern%203.5.24.xlsx" TargetMode="External"/><Relationship Id="rId1" Type="http://schemas.openxmlformats.org/officeDocument/2006/relationships/externalLinkPath" Target="/Users/epress/AppData/Local/Box/Box%20Edit/Documents/tsVUYqSxzkCreyZ8sv6v+A==/Niu%20et%20al%202014%20digitized%20feed%20intake%20pattern%203.5.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epress\AppData\Local\Box\Box%20Edit\Documents\l7Y3bZpcmUC_ALnFP6IMXw==\Niu%20and%20Harvatine%202018%20digitized%20feed%20intake%20pattern%203.5.24.xlsx" TargetMode="External"/><Relationship Id="rId1" Type="http://schemas.openxmlformats.org/officeDocument/2006/relationships/externalLinkPath" Target="/Users/epress/AppData/Local/Box/Box%20Edit/Documents/l7Y3bZpcmUC_ALnFP6IMXw==/Niu%20and%20Harvatine%202018%20digitized%20feed%20intake%20pattern%203.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diet"/>
      <sheetName val="overall.composition"/>
    </sheetNames>
    <sheetDataSet>
      <sheetData sheetId="0">
        <row r="4">
          <cell r="B4">
            <v>0.435</v>
          </cell>
        </row>
        <row r="5">
          <cell r="B5">
            <v>0.12</v>
          </cell>
        </row>
        <row r="14">
          <cell r="B14">
            <v>1.1160000000000002E-2</v>
          </cell>
        </row>
      </sheetData>
      <sheetData sheetId="1">
        <row r="2">
          <cell r="M2">
            <v>0.58259391000000005</v>
          </cell>
        </row>
        <row r="3">
          <cell r="M3">
            <v>5.6532539999999999E-2</v>
          </cell>
        </row>
        <row r="4">
          <cell r="N4">
            <v>0.161</v>
          </cell>
        </row>
        <row r="6">
          <cell r="M6">
            <v>5.4321915140000003E-2</v>
          </cell>
        </row>
        <row r="8">
          <cell r="N8">
            <v>0.309</v>
          </cell>
        </row>
        <row r="11">
          <cell r="M11">
            <v>4.2273916999999994E-2</v>
          </cell>
        </row>
        <row r="12">
          <cell r="M12">
            <v>0.20355044999999999</v>
          </cell>
        </row>
        <row r="13">
          <cell r="M13">
            <v>6.9072460000000002E-2</v>
          </cell>
        </row>
        <row r="15">
          <cell r="M15">
            <v>5.4100653999999998E-2</v>
          </cell>
        </row>
        <row r="16">
          <cell r="N16">
            <v>3.9000000000000003E-3</v>
          </cell>
        </row>
        <row r="17">
          <cell r="M17">
            <v>1.0006293542999999E-2</v>
          </cell>
        </row>
        <row r="18">
          <cell r="M18">
            <v>2.9709272794999998E-2</v>
          </cell>
        </row>
        <row r="19">
          <cell r="M19">
            <v>2.5918499999999997E-2</v>
          </cell>
        </row>
        <row r="20">
          <cell r="M20">
            <v>7.9364999999999991E-3</v>
          </cell>
        </row>
        <row r="21">
          <cell r="M21">
            <v>1.7204999999999998E-3</v>
          </cell>
        </row>
        <row r="22">
          <cell r="M22">
            <v>1.4985E-3</v>
          </cell>
        </row>
        <row r="23">
          <cell r="M23">
            <v>8.7149207999999987E-4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ot-data (1)"/>
    </sheetNames>
    <sheetDataSet>
      <sheetData sheetId="0">
        <row r="6">
          <cell r="B6">
            <v>1.59671532846715</v>
          </cell>
        </row>
        <row r="7">
          <cell r="B7">
            <v>1.87043795620437</v>
          </cell>
        </row>
        <row r="8">
          <cell r="B8">
            <v>1.1861313868613099</v>
          </cell>
        </row>
        <row r="9">
          <cell r="B9">
            <v>0</v>
          </cell>
        </row>
        <row r="10">
          <cell r="B10">
            <v>9.0784671532846701</v>
          </cell>
        </row>
        <row r="11">
          <cell r="B11">
            <v>4.2883211678832103</v>
          </cell>
        </row>
        <row r="12">
          <cell r="B12">
            <v>5.2007299270072904</v>
          </cell>
        </row>
        <row r="13">
          <cell r="B13">
            <v>5.2007299270072904</v>
          </cell>
        </row>
        <row r="14">
          <cell r="B14">
            <v>5.9762773722627696</v>
          </cell>
        </row>
        <row r="15">
          <cell r="B15">
            <v>5.0638686131386796</v>
          </cell>
        </row>
        <row r="16">
          <cell r="B16">
            <v>2.9197080291970798</v>
          </cell>
        </row>
        <row r="17">
          <cell r="B17">
            <v>4.8813868613138602</v>
          </cell>
        </row>
        <row r="18">
          <cell r="B18">
            <v>1.59671532846715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ot-data (2)"/>
    </sheetNames>
    <sheetDataSet>
      <sheetData sheetId="0">
        <row r="6">
          <cell r="B6">
            <v>2.0528771384136801</v>
          </cell>
        </row>
        <row r="7">
          <cell r="B7">
            <v>2.0528771384136801</v>
          </cell>
        </row>
        <row r="8">
          <cell r="B8">
            <v>1.7418351477449401</v>
          </cell>
        </row>
        <row r="9">
          <cell r="B9">
            <v>0</v>
          </cell>
        </row>
        <row r="10">
          <cell r="B10">
            <v>10.544323483670199</v>
          </cell>
        </row>
        <row r="11">
          <cell r="B11">
            <v>4.1368584758942397</v>
          </cell>
        </row>
        <row r="12">
          <cell r="B12">
            <v>5.10108864696734</v>
          </cell>
        </row>
        <row r="13">
          <cell r="B13">
            <v>5.9720062208398099</v>
          </cell>
        </row>
        <row r="14">
          <cell r="B14">
            <v>4.8211508553654703</v>
          </cell>
        </row>
        <row r="15">
          <cell r="B15">
            <v>4.10575427682737</v>
          </cell>
        </row>
        <row r="16">
          <cell r="B16">
            <v>6.0031104199066796</v>
          </cell>
        </row>
        <row r="17">
          <cell r="B17">
            <v>2.2083981337480498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ot-data (4)"/>
    </sheetNames>
    <sheetDataSet>
      <sheetData sheetId="0">
        <row r="6">
          <cell r="B6">
            <v>2.0631001371742101</v>
          </cell>
        </row>
        <row r="7">
          <cell r="B7">
            <v>2.6117969821673501</v>
          </cell>
        </row>
        <row r="8">
          <cell r="B8">
            <v>1.40466392318244</v>
          </cell>
        </row>
        <row r="9">
          <cell r="B9">
            <v>2.1947873799725601E-2</v>
          </cell>
        </row>
        <row r="10">
          <cell r="B10">
            <v>8.4938271604938205</v>
          </cell>
        </row>
        <row r="11">
          <cell r="B11">
            <v>4.30178326474622</v>
          </cell>
        </row>
        <row r="12">
          <cell r="B12">
            <v>3.8189300411522602</v>
          </cell>
        </row>
        <row r="13">
          <cell r="B13">
            <v>5.1138545953360701</v>
          </cell>
        </row>
        <row r="14">
          <cell r="B14">
            <v>5.9698216735253702</v>
          </cell>
        </row>
        <row r="15">
          <cell r="B15">
            <v>4.3456790123456699</v>
          </cell>
        </row>
        <row r="16">
          <cell r="B16">
            <v>4.2578875171467701</v>
          </cell>
        </row>
        <row r="17">
          <cell r="B17">
            <v>4.2578875171467701</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3-05T01:23:09.30" personId="{00000000-0000-0000-0000-000000000000}" id="{401C2737-13E9-460D-AF0E-9B84E1E360F0}">
    <text>Sources: https://github.com/linge006/Modeling-inhibited-methanogenesis/blob/main/FI_rate_Olijhoek_cntrl.csv</text>
    <extLst>
      <x:ext xmlns:xltc2="http://schemas.microsoft.com/office/spreadsheetml/2020/threadedcomments2" uri="{F7C98A9C-CBB3-438F-8F68-D28B6AF4A901}">
        <xltc2:checksum>1012746881</xltc2:checksum>
        <xltc2:hyperlink startIndex="9" length="98" url="https://github.com/linge006/Modeling-inhibited-methanogenesis/blob/main/FI_rate_Olijhoek_cntrl.csv"/>
      </x:ext>
    </extLst>
  </threadedComment>
  <threadedComment ref="A1" dT="2024-03-05T01:23:17.06" personId="{00000000-0000-0000-0000-000000000000}" id="{3A97DA65-E2C6-47C6-AF33-E5370ED4205A}" parentId="{401C2737-13E9-460D-AF0E-9B84E1E360F0}">
    <text>https://github.com/linge006/Modeling-inhibited-methanogenesis/blob/main/FI_rate_Olijhoek.csv</text>
    <extLst>
      <x:ext xmlns:xltc2="http://schemas.microsoft.com/office/spreadsheetml/2020/threadedcomments2" uri="{F7C98A9C-CBB3-438F-8F68-D28B6AF4A901}">
        <xltc2:checksum>2977989747</xltc2:checksum>
        <xltc2:hyperlink startIndex="0" length="92" url="https://github.com/linge006/Modeling-inhibited-methanogenesis/blob/main/FI_rate_Olijhoek.csv"/>
      </x:ext>
    </extLs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2BC3-09A1-4630-A3A0-05C4051E068D}">
  <dimension ref="A1:J28"/>
  <sheetViews>
    <sheetView workbookViewId="0">
      <pane ySplit="1" topLeftCell="A2" activePane="bottomLeft" state="frozen"/>
      <selection pane="bottomLeft" activeCell="G31" sqref="G31"/>
    </sheetView>
  </sheetViews>
  <sheetFormatPr defaultRowHeight="15" x14ac:dyDescent="0.25"/>
  <cols>
    <col min="1" max="1" width="17.7109375" bestFit="1" customWidth="1"/>
    <col min="2" max="2" width="22" bestFit="1" customWidth="1"/>
    <col min="3" max="3" width="22.85546875" bestFit="1" customWidth="1"/>
    <col min="4" max="4" width="28.85546875" customWidth="1"/>
    <col min="5" max="5" width="16.5703125" bestFit="1" customWidth="1"/>
    <col min="6" max="6" width="16" bestFit="1" customWidth="1"/>
    <col min="7" max="7" width="22.140625" bestFit="1" customWidth="1"/>
    <col min="8" max="8" width="26.28515625" bestFit="1" customWidth="1"/>
    <col min="9" max="9" width="18" bestFit="1" customWidth="1"/>
    <col min="10" max="10" width="23.42578125" customWidth="1"/>
  </cols>
  <sheetData>
    <row r="1" spans="1:10" x14ac:dyDescent="0.25">
      <c r="A1" s="1" t="s">
        <v>0</v>
      </c>
      <c r="B1" s="1" t="s">
        <v>1</v>
      </c>
      <c r="C1" s="1" t="s">
        <v>2</v>
      </c>
      <c r="D1" s="1" t="s">
        <v>3</v>
      </c>
      <c r="E1" s="2" t="s">
        <v>4</v>
      </c>
      <c r="F1" s="2" t="s">
        <v>5</v>
      </c>
      <c r="G1" s="2" t="s">
        <v>6</v>
      </c>
      <c r="H1" s="2" t="s">
        <v>7</v>
      </c>
      <c r="I1" s="2" t="s">
        <v>8</v>
      </c>
      <c r="J1" s="2" t="s">
        <v>9</v>
      </c>
    </row>
    <row r="2" spans="1:10" s="4" customFormat="1" x14ac:dyDescent="0.25">
      <c r="A2" s="4" t="s">
        <v>10</v>
      </c>
      <c r="B2" s="4" t="s">
        <v>10</v>
      </c>
      <c r="C2" s="4" t="s">
        <v>11</v>
      </c>
      <c r="D2" s="4" t="s">
        <v>12</v>
      </c>
      <c r="E2" s="4">
        <f>24.8*1000/24</f>
        <v>1033.3333333333333</v>
      </c>
      <c r="F2" s="4" t="s">
        <v>88</v>
      </c>
      <c r="I2" s="4" t="s">
        <v>108</v>
      </c>
    </row>
    <row r="3" spans="1:10" s="4" customFormat="1" x14ac:dyDescent="0.25">
      <c r="A3" s="4" t="s">
        <v>13</v>
      </c>
      <c r="B3" s="4" t="s">
        <v>13</v>
      </c>
      <c r="C3" s="4" t="s">
        <v>14</v>
      </c>
      <c r="D3" s="4" t="s">
        <v>15</v>
      </c>
      <c r="E3" s="4">
        <f>[1]overall.composition!$M$11</f>
        <v>4.2273916999999994E-2</v>
      </c>
      <c r="F3" s="4" t="s">
        <v>104</v>
      </c>
      <c r="I3" s="4" t="s">
        <v>107</v>
      </c>
    </row>
    <row r="4" spans="1:10" s="4" customFormat="1" x14ac:dyDescent="0.25">
      <c r="A4" s="4" t="s">
        <v>16</v>
      </c>
      <c r="B4" s="4" t="s">
        <v>16</v>
      </c>
      <c r="C4" s="4" t="s">
        <v>17</v>
      </c>
      <c r="D4" s="4" t="s">
        <v>15</v>
      </c>
      <c r="E4" s="4">
        <f>E22-E3</f>
        <v>0.266726083</v>
      </c>
      <c r="F4" s="4" t="s">
        <v>105</v>
      </c>
      <c r="I4" s="4" t="s">
        <v>107</v>
      </c>
    </row>
    <row r="5" spans="1:10" s="4" customFormat="1" x14ac:dyDescent="0.25">
      <c r="A5" s="4" t="s">
        <v>18</v>
      </c>
      <c r="B5" s="4" t="s">
        <v>18</v>
      </c>
      <c r="C5" s="4" t="s">
        <v>19</v>
      </c>
      <c r="D5" s="4" t="s">
        <v>15</v>
      </c>
      <c r="E5" s="4">
        <f>[1]overall.composition!$M$12</f>
        <v>0.20355044999999999</v>
      </c>
      <c r="F5" s="4" t="s">
        <v>86</v>
      </c>
      <c r="I5" s="4" t="s">
        <v>107</v>
      </c>
    </row>
    <row r="6" spans="1:10" s="4" customFormat="1" x14ac:dyDescent="0.25">
      <c r="A6" s="4" t="s">
        <v>20</v>
      </c>
      <c r="B6" s="4" t="s">
        <v>20</v>
      </c>
      <c r="C6" s="4" t="s">
        <v>21</v>
      </c>
      <c r="D6" s="4" t="s">
        <v>15</v>
      </c>
      <c r="E6" s="4">
        <f>[1]overall.composition!$M$13</f>
        <v>6.9072460000000002E-2</v>
      </c>
      <c r="F6" s="4" t="s">
        <v>22</v>
      </c>
      <c r="I6" s="4" t="s">
        <v>107</v>
      </c>
    </row>
    <row r="7" spans="1:10" s="4" customFormat="1" x14ac:dyDescent="0.25">
      <c r="A7" s="4" t="s">
        <v>23</v>
      </c>
      <c r="B7" s="4" t="s">
        <v>23</v>
      </c>
      <c r="C7" s="4" t="s">
        <v>24</v>
      </c>
      <c r="D7" s="4" t="s">
        <v>15</v>
      </c>
      <c r="E7" s="4">
        <f>[1]overall.composition!$M$19</f>
        <v>2.5918499999999997E-2</v>
      </c>
      <c r="F7" s="4" t="s">
        <v>25</v>
      </c>
      <c r="I7" s="4" t="s">
        <v>107</v>
      </c>
    </row>
    <row r="8" spans="1:10" s="4" customFormat="1" x14ac:dyDescent="0.25">
      <c r="A8" s="4" t="s">
        <v>26</v>
      </c>
      <c r="B8" s="4" t="s">
        <v>26</v>
      </c>
      <c r="C8" s="4" t="s">
        <v>27</v>
      </c>
      <c r="D8" s="4" t="s">
        <v>15</v>
      </c>
      <c r="E8" s="4">
        <f>[1]overall.composition!$M$15</f>
        <v>5.4100653999999998E-2</v>
      </c>
      <c r="F8" s="4" t="s">
        <v>28</v>
      </c>
      <c r="I8" s="4" t="s">
        <v>107</v>
      </c>
    </row>
    <row r="9" spans="1:10" s="4" customFormat="1" x14ac:dyDescent="0.25">
      <c r="A9" s="4" t="s">
        <v>29</v>
      </c>
      <c r="B9" s="4" t="s">
        <v>29</v>
      </c>
      <c r="C9" s="4" t="s">
        <v>30</v>
      </c>
      <c r="D9" s="4" t="s">
        <v>15</v>
      </c>
      <c r="E9" s="4">
        <f>[1]overall.composition!$M$18</f>
        <v>2.9709272794999998E-2</v>
      </c>
      <c r="F9" s="4" t="s">
        <v>90</v>
      </c>
      <c r="I9" s="4" t="s">
        <v>107</v>
      </c>
    </row>
    <row r="10" spans="1:10" s="4" customFormat="1" x14ac:dyDescent="0.25">
      <c r="A10" s="4" t="s">
        <v>31</v>
      </c>
      <c r="B10" s="4" t="s">
        <v>31</v>
      </c>
      <c r="C10" s="4" t="s">
        <v>32</v>
      </c>
      <c r="D10" s="4" t="s">
        <v>15</v>
      </c>
      <c r="E10" s="4">
        <f>[1]overall.composition!$M$17</f>
        <v>1.0006293542999999E-2</v>
      </c>
      <c r="F10" s="4" t="s">
        <v>91</v>
      </c>
      <c r="I10" s="4" t="s">
        <v>107</v>
      </c>
    </row>
    <row r="11" spans="1:10" s="4" customFormat="1" x14ac:dyDescent="0.25">
      <c r="A11" s="4" t="s">
        <v>33</v>
      </c>
      <c r="B11" s="4" t="s">
        <v>33</v>
      </c>
      <c r="C11" s="4" t="s">
        <v>34</v>
      </c>
      <c r="D11" s="4" t="s">
        <v>15</v>
      </c>
      <c r="E11" s="4">
        <f>[1]overall.composition!$M$23</f>
        <v>8.7149207999999987E-4</v>
      </c>
      <c r="F11" s="4" t="s">
        <v>35</v>
      </c>
      <c r="I11" s="4" t="s">
        <v>107</v>
      </c>
    </row>
    <row r="12" spans="1:10" s="4" customFormat="1" x14ac:dyDescent="0.25">
      <c r="A12" s="4" t="s">
        <v>36</v>
      </c>
      <c r="B12" s="4" t="s">
        <v>36</v>
      </c>
      <c r="C12" s="4" t="s">
        <v>37</v>
      </c>
      <c r="D12" s="4" t="s">
        <v>15</v>
      </c>
      <c r="E12" s="4">
        <f>[1]overall.composition!$M$6</f>
        <v>5.4321915140000003E-2</v>
      </c>
      <c r="F12" s="4" t="s">
        <v>38</v>
      </c>
      <c r="I12" s="4" t="s">
        <v>107</v>
      </c>
    </row>
    <row r="13" spans="1:10" s="4" customFormat="1" x14ac:dyDescent="0.25">
      <c r="A13" s="4" t="s">
        <v>39</v>
      </c>
      <c r="B13" s="4" t="s">
        <v>39</v>
      </c>
      <c r="C13" s="4" t="s">
        <v>40</v>
      </c>
      <c r="D13" s="4" t="s">
        <v>15</v>
      </c>
      <c r="E13" s="4">
        <f>[1]overall.composition!$N$4-E12</f>
        <v>0.10667808485999999</v>
      </c>
      <c r="F13" s="4" t="s">
        <v>41</v>
      </c>
      <c r="I13" s="4" t="s">
        <v>107</v>
      </c>
    </row>
    <row r="14" spans="1:10" s="4" customFormat="1" x14ac:dyDescent="0.25">
      <c r="A14" s="4" t="s">
        <v>42</v>
      </c>
      <c r="B14" s="4" t="s">
        <v>42</v>
      </c>
      <c r="C14" s="4" t="s">
        <v>43</v>
      </c>
      <c r="D14" s="4" t="s">
        <v>15</v>
      </c>
      <c r="E14" s="4">
        <f>[1]overall.composition!$M$20</f>
        <v>7.9364999999999991E-3</v>
      </c>
      <c r="F14" s="4" t="s">
        <v>44</v>
      </c>
      <c r="I14" s="4" t="s">
        <v>107</v>
      </c>
    </row>
    <row r="15" spans="1:10" s="4" customFormat="1" x14ac:dyDescent="0.25">
      <c r="A15" s="4" t="s">
        <v>45</v>
      </c>
      <c r="B15" s="4" t="s">
        <v>45</v>
      </c>
      <c r="C15" s="4" t="s">
        <v>46</v>
      </c>
      <c r="D15" s="4" t="s">
        <v>15</v>
      </c>
      <c r="E15" s="4">
        <f>[1]overall.composition!$M$22</f>
        <v>1.4985E-3</v>
      </c>
      <c r="F15" s="4" t="s">
        <v>47</v>
      </c>
      <c r="I15" s="4" t="s">
        <v>107</v>
      </c>
    </row>
    <row r="16" spans="1:10" s="4" customFormat="1" x14ac:dyDescent="0.25">
      <c r="A16" s="4" t="s">
        <v>48</v>
      </c>
      <c r="B16" s="4" t="s">
        <v>48</v>
      </c>
      <c r="C16" s="4" t="s">
        <v>49</v>
      </c>
      <c r="D16" s="4" t="s">
        <v>15</v>
      </c>
      <c r="E16" s="4">
        <f>[1]overall.composition!$M$21</f>
        <v>1.7204999999999998E-3</v>
      </c>
      <c r="F16" s="4" t="s">
        <v>50</v>
      </c>
      <c r="I16" s="4" t="s">
        <v>107</v>
      </c>
    </row>
    <row r="17" spans="1:10" s="3" customFormat="1" x14ac:dyDescent="0.25">
      <c r="A17" s="3" t="s">
        <v>51</v>
      </c>
      <c r="B17" s="3" t="s">
        <v>51</v>
      </c>
      <c r="C17" s="3" t="s">
        <v>52</v>
      </c>
      <c r="D17" s="3" t="s">
        <v>15</v>
      </c>
      <c r="E17" s="5">
        <f>(60/1000)/1000</f>
        <v>5.9999999999999995E-5</v>
      </c>
      <c r="F17" s="3" t="s">
        <v>53</v>
      </c>
      <c r="I17" s="3" t="s">
        <v>108</v>
      </c>
    </row>
    <row r="18" spans="1:10" s="3" customFormat="1" x14ac:dyDescent="0.25">
      <c r="A18" s="3" t="s">
        <v>54</v>
      </c>
      <c r="B18" s="3" t="s">
        <v>54</v>
      </c>
      <c r="C18" s="3" t="s">
        <v>55</v>
      </c>
      <c r="D18" s="3" t="s">
        <v>15</v>
      </c>
      <c r="E18" s="5">
        <v>0</v>
      </c>
      <c r="F18" s="3" t="s">
        <v>56</v>
      </c>
    </row>
    <row r="19" spans="1:10" s="4" customFormat="1" x14ac:dyDescent="0.25">
      <c r="A19" s="4" t="s">
        <v>57</v>
      </c>
      <c r="B19" s="4" t="s">
        <v>57</v>
      </c>
      <c r="C19" s="4" t="s">
        <v>58</v>
      </c>
      <c r="D19" s="4" t="s">
        <v>15</v>
      </c>
      <c r="E19" s="4">
        <f>[1]overall.composition!$M$3</f>
        <v>5.6532539999999999E-2</v>
      </c>
      <c r="F19" s="4" t="s">
        <v>87</v>
      </c>
      <c r="I19" s="4" t="s">
        <v>107</v>
      </c>
    </row>
    <row r="20" spans="1:10" s="4" customFormat="1" x14ac:dyDescent="0.25">
      <c r="A20" s="4" t="s">
        <v>59</v>
      </c>
      <c r="B20" s="4" t="s">
        <v>59</v>
      </c>
      <c r="C20" s="4" t="s">
        <v>60</v>
      </c>
      <c r="D20" s="4" t="s">
        <v>61</v>
      </c>
      <c r="E20" s="4">
        <f>[1]overall.composition!$M$2</f>
        <v>0.58259391000000005</v>
      </c>
      <c r="F20" s="4" t="s">
        <v>62</v>
      </c>
      <c r="I20" s="4" t="s">
        <v>107</v>
      </c>
    </row>
    <row r="21" spans="1:10" s="4" customFormat="1" x14ac:dyDescent="0.25">
      <c r="A21" s="4" t="s">
        <v>63</v>
      </c>
      <c r="B21" s="4" t="s">
        <v>63</v>
      </c>
      <c r="C21" s="4" t="s">
        <v>64</v>
      </c>
      <c r="D21" s="4" t="s">
        <v>85</v>
      </c>
      <c r="E21" s="4">
        <f>SUM([1]diet!$B$4:$B$5)</f>
        <v>0.55499999999999994</v>
      </c>
      <c r="F21" s="4" t="s">
        <v>85</v>
      </c>
      <c r="I21" s="4" t="s">
        <v>107</v>
      </c>
    </row>
    <row r="22" spans="1:10" s="4" customFormat="1" x14ac:dyDescent="0.25">
      <c r="A22" s="4" t="s">
        <v>65</v>
      </c>
      <c r="B22" s="4" t="s">
        <v>65</v>
      </c>
      <c r="C22" s="4" t="s">
        <v>66</v>
      </c>
      <c r="D22" s="4" t="s">
        <v>15</v>
      </c>
      <c r="E22" s="4">
        <f>[1]overall.composition!$N$8</f>
        <v>0.309</v>
      </c>
      <c r="F22" s="4" t="s">
        <v>89</v>
      </c>
      <c r="I22" s="4" t="s">
        <v>107</v>
      </c>
    </row>
    <row r="23" spans="1:10" s="4" customFormat="1" x14ac:dyDescent="0.25">
      <c r="A23" s="4" t="s">
        <v>67</v>
      </c>
      <c r="B23" s="4" t="s">
        <v>67</v>
      </c>
      <c r="C23" s="4" t="s">
        <v>68</v>
      </c>
      <c r="D23" s="4" t="s">
        <v>15</v>
      </c>
      <c r="E23" s="4">
        <f>[1]diet!$B$14</f>
        <v>1.1160000000000002E-2</v>
      </c>
      <c r="F23" s="4" t="s">
        <v>106</v>
      </c>
      <c r="I23" s="4" t="s">
        <v>107</v>
      </c>
    </row>
    <row r="24" spans="1:10" s="4" customFormat="1" x14ac:dyDescent="0.25">
      <c r="A24" s="4" t="s">
        <v>72</v>
      </c>
      <c r="B24" s="4" t="s">
        <v>72</v>
      </c>
      <c r="C24" s="4" t="s">
        <v>73</v>
      </c>
      <c r="D24" s="4" t="s">
        <v>15</v>
      </c>
      <c r="E24" s="4">
        <f>[1]overall.composition!$N$16</f>
        <v>3.9000000000000003E-3</v>
      </c>
      <c r="F24" s="4" t="s">
        <v>74</v>
      </c>
      <c r="I24" s="4" t="s">
        <v>107</v>
      </c>
    </row>
    <row r="25" spans="1:10" s="4" customFormat="1" x14ac:dyDescent="0.25">
      <c r="A25" s="4" t="s">
        <v>75</v>
      </c>
      <c r="B25" s="4" t="s">
        <v>75</v>
      </c>
      <c r="C25" s="4" t="s">
        <v>76</v>
      </c>
      <c r="D25" s="4" t="s">
        <v>77</v>
      </c>
      <c r="E25" s="8">
        <v>0.85</v>
      </c>
      <c r="F25" s="8" t="s">
        <v>77</v>
      </c>
      <c r="G25" s="8"/>
      <c r="H25" s="8"/>
      <c r="I25" s="8" t="s">
        <v>78</v>
      </c>
      <c r="J25" s="8"/>
    </row>
    <row r="26" spans="1:10" s="6" customFormat="1" x14ac:dyDescent="0.25">
      <c r="A26" s="6" t="s">
        <v>69</v>
      </c>
      <c r="B26" s="6" t="s">
        <v>69</v>
      </c>
      <c r="C26" s="6" t="s">
        <v>70</v>
      </c>
      <c r="D26" s="6" t="s">
        <v>71</v>
      </c>
      <c r="E26" s="6">
        <v>30.3</v>
      </c>
      <c r="F26" s="6" t="s">
        <v>71</v>
      </c>
      <c r="I26" s="6" t="s">
        <v>108</v>
      </c>
    </row>
    <row r="27" spans="1:10" s="6" customFormat="1" x14ac:dyDescent="0.25">
      <c r="A27" s="6" t="s">
        <v>79</v>
      </c>
      <c r="B27" s="6" t="s">
        <v>79</v>
      </c>
      <c r="C27" s="6" t="s">
        <v>80</v>
      </c>
      <c r="D27" s="6" t="s">
        <v>81</v>
      </c>
      <c r="E27" s="9">
        <v>0.9</v>
      </c>
      <c r="F27" s="9" t="s">
        <v>81</v>
      </c>
      <c r="G27" s="9"/>
      <c r="H27" s="9"/>
      <c r="I27" s="9" t="s">
        <v>78</v>
      </c>
      <c r="J27" s="9"/>
    </row>
    <row r="28" spans="1:10" s="7" customFormat="1" x14ac:dyDescent="0.25">
      <c r="A28" s="7" t="s">
        <v>82</v>
      </c>
      <c r="B28" s="7" t="s">
        <v>82</v>
      </c>
      <c r="C28" s="7" t="s">
        <v>83</v>
      </c>
      <c r="D28" s="7" t="s">
        <v>84</v>
      </c>
      <c r="E28" s="10">
        <f>7.3/1000/62</f>
        <v>1.1774193548387097E-4</v>
      </c>
      <c r="F28" s="10" t="s">
        <v>84</v>
      </c>
      <c r="G28" s="10"/>
      <c r="H28" s="10"/>
      <c r="I28" s="10" t="s">
        <v>92</v>
      </c>
      <c r="J28" s="10"/>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EF0A-018F-416F-80C2-1357C1AD1AA6}">
  <dimension ref="A1:J36"/>
  <sheetViews>
    <sheetView tabSelected="1" workbookViewId="0">
      <selection activeCell="D16" sqref="D16"/>
    </sheetView>
  </sheetViews>
  <sheetFormatPr defaultRowHeight="15" x14ac:dyDescent="0.25"/>
  <cols>
    <col min="1" max="1" width="24.28515625" customWidth="1"/>
    <col min="3" max="3" width="16.85546875" customWidth="1"/>
    <col min="7" max="7" width="37.140625" bestFit="1" customWidth="1"/>
    <col min="8" max="8" width="28" bestFit="1" customWidth="1"/>
    <col min="9" max="9" width="27.85546875" bestFit="1" customWidth="1"/>
    <col min="10" max="10" width="37" customWidth="1"/>
  </cols>
  <sheetData>
    <row r="1" spans="1:10" x14ac:dyDescent="0.25">
      <c r="A1" s="1" t="s">
        <v>93</v>
      </c>
      <c r="B1" s="1" t="s">
        <v>94</v>
      </c>
      <c r="C1" s="1" t="s">
        <v>95</v>
      </c>
      <c r="D1" s="1" t="s">
        <v>96</v>
      </c>
      <c r="E1" s="1" t="s">
        <v>118</v>
      </c>
      <c r="G1" s="11" t="s">
        <v>99</v>
      </c>
      <c r="H1" s="12" t="s">
        <v>119</v>
      </c>
      <c r="I1" s="12" t="s">
        <v>100</v>
      </c>
      <c r="J1" s="13" t="s">
        <v>101</v>
      </c>
    </row>
    <row r="2" spans="1:10" x14ac:dyDescent="0.25">
      <c r="A2" t="s">
        <v>97</v>
      </c>
      <c r="B2">
        <v>0</v>
      </c>
      <c r="C2">
        <f>(AVERAGE('[2]plot-data (1)'!$B6,'[3]plot-data (2)'!$B6,'[4]plot-data (4)'!$B6)/100)*('USER.DEFINED.PARAMETERS'!E$2*24)</f>
        <v>472.24925526855003</v>
      </c>
      <c r="D2" t="s">
        <v>98</v>
      </c>
      <c r="E2">
        <f>B2-8</f>
        <v>-8</v>
      </c>
      <c r="G2" s="14">
        <f>C2*2</f>
        <v>944.49851053710006</v>
      </c>
      <c r="H2">
        <f>SUM(G2:G14)</f>
        <v>24379.124051547496</v>
      </c>
      <c r="I2">
        <f>H2</f>
        <v>24379.124051547496</v>
      </c>
      <c r="J2" s="15">
        <f>I2/1000</f>
        <v>24.379124051547496</v>
      </c>
    </row>
    <row r="3" spans="1:10" x14ac:dyDescent="0.25">
      <c r="A3" t="s">
        <v>97</v>
      </c>
      <c r="B3">
        <v>2</v>
      </c>
      <c r="C3">
        <f>(AVERAGE('[2]plot-data (1)'!$B7,'[3]plot-data (2)'!$B7,'[4]plot-data (4)'!$B7)/100)*('USER.DEFINED.PARAMETERS'!E$2*24)</f>
        <v>540.23593168092634</v>
      </c>
      <c r="D3" t="s">
        <v>98</v>
      </c>
      <c r="E3">
        <f t="shared" ref="E3:E14" si="0">B3-8</f>
        <v>-6</v>
      </c>
      <c r="G3" s="14">
        <f t="shared" ref="G3:G14" si="1">C3*2</f>
        <v>1080.4718633618527</v>
      </c>
      <c r="J3" s="15"/>
    </row>
    <row r="4" spans="1:10" x14ac:dyDescent="0.25">
      <c r="A4" t="s">
        <v>97</v>
      </c>
      <c r="B4">
        <v>4</v>
      </c>
      <c r="C4">
        <f>(AVERAGE('[2]plot-data (1)'!$B8,'[3]plot-data (2)'!$B8,'[4]plot-data (4)'!$B8)/100)*('USER.DEFINED.PARAMETERS'!E$2*24)</f>
        <v>358.16411784386503</v>
      </c>
      <c r="D4" t="s">
        <v>98</v>
      </c>
      <c r="E4">
        <f t="shared" si="0"/>
        <v>-4</v>
      </c>
      <c r="G4" s="14">
        <f t="shared" si="1"/>
        <v>716.32823568773006</v>
      </c>
      <c r="J4" s="15"/>
    </row>
    <row r="5" spans="1:10" x14ac:dyDescent="0.25">
      <c r="A5" t="s">
        <v>97</v>
      </c>
      <c r="B5">
        <v>6</v>
      </c>
      <c r="C5">
        <f>(AVERAGE('[2]plot-data (1)'!$B9,'[3]plot-data (2)'!$B9,'[4]plot-data (4)'!$B9)/100)*('USER.DEFINED.PARAMETERS'!E$2*24)</f>
        <v>1.8143575674439831</v>
      </c>
      <c r="D5" t="s">
        <v>98</v>
      </c>
      <c r="E5">
        <f t="shared" si="0"/>
        <v>-2</v>
      </c>
      <c r="G5" s="14">
        <f t="shared" si="1"/>
        <v>3.6287151348879663</v>
      </c>
      <c r="I5" s="1" t="s">
        <v>102</v>
      </c>
      <c r="J5" s="15">
        <f>'USER.DEFINED.PARAMETERS'!E2*24/1000</f>
        <v>24.8</v>
      </c>
    </row>
    <row r="6" spans="1:10" x14ac:dyDescent="0.25">
      <c r="A6" t="s">
        <v>97</v>
      </c>
      <c r="B6">
        <v>8</v>
      </c>
      <c r="C6">
        <f>(AVERAGE('[2]plot-data (1)'!$B10,'[3]plot-data (2)'!$B10,'[4]plot-data (4)'!$B10)/100)*('USER.DEFINED.PARAMETERS'!E$2*24)</f>
        <v>2324.3070712557583</v>
      </c>
      <c r="D6" t="s">
        <v>98</v>
      </c>
      <c r="E6">
        <f t="shared" si="0"/>
        <v>0</v>
      </c>
      <c r="G6" s="14">
        <f t="shared" si="1"/>
        <v>4648.6141425115165</v>
      </c>
      <c r="J6" s="15"/>
    </row>
    <row r="7" spans="1:10" x14ac:dyDescent="0.25">
      <c r="A7" t="s">
        <v>97</v>
      </c>
      <c r="B7">
        <v>10</v>
      </c>
      <c r="C7">
        <f>(AVERAGE('[2]plot-data (1)'!$B11,'[3]plot-data (2)'!$B11,'[4]plot-data (4)'!$B11)/100)*('USER.DEFINED.PARAMETERS'!E$2*24)</f>
        <v>1052.0956004379568</v>
      </c>
      <c r="D7" t="s">
        <v>98</v>
      </c>
      <c r="E7">
        <f t="shared" si="0"/>
        <v>2</v>
      </c>
      <c r="G7" s="14">
        <f t="shared" si="1"/>
        <v>2104.1912008759136</v>
      </c>
      <c r="J7" s="15"/>
    </row>
    <row r="8" spans="1:10" x14ac:dyDescent="0.25">
      <c r="A8" t="s">
        <v>97</v>
      </c>
      <c r="B8">
        <v>12</v>
      </c>
      <c r="C8">
        <f>(AVERAGE('[2]plot-data (1)'!$B12,'[3]plot-data (2)'!$B12,'[4]plot-data (4)'!$B12)/100)*('USER.DEFINED.PARAMETERS'!E$2*24)</f>
        <v>1167.3152188504896</v>
      </c>
      <c r="D8" t="s">
        <v>98</v>
      </c>
      <c r="E8">
        <f t="shared" si="0"/>
        <v>4</v>
      </c>
      <c r="G8" s="14">
        <f t="shared" si="1"/>
        <v>2334.6304377009792</v>
      </c>
      <c r="J8" s="15"/>
    </row>
    <row r="9" spans="1:10" x14ac:dyDescent="0.25">
      <c r="A9" t="s">
        <v>97</v>
      </c>
      <c r="B9">
        <v>14</v>
      </c>
      <c r="C9">
        <f>(AVERAGE('[2]plot-data (1)'!$B13,'[3]plot-data (2)'!$B13,'[4]plot-data (4)'!$B13)/100)*('USER.DEFINED.PARAMETERS'!E$2*24)</f>
        <v>1346.3581681031419</v>
      </c>
      <c r="D9" t="s">
        <v>98</v>
      </c>
      <c r="E9">
        <f t="shared" si="0"/>
        <v>6</v>
      </c>
      <c r="G9" s="14">
        <f t="shared" si="1"/>
        <v>2692.7163362062838</v>
      </c>
      <c r="I9" s="1" t="s">
        <v>103</v>
      </c>
      <c r="J9" s="15">
        <f>J5-J2</f>
        <v>0.42087594845250464</v>
      </c>
    </row>
    <row r="10" spans="1:10" x14ac:dyDescent="0.25">
      <c r="A10" t="s">
        <v>97</v>
      </c>
      <c r="B10">
        <v>16</v>
      </c>
      <c r="C10">
        <f>(AVERAGE('[2]plot-data (1)'!$B14,'[3]plot-data (2)'!$B14,'[4]plot-data (4)'!$B14)/100)*('USER.DEFINED.PARAMETERS'!E$2*24)</f>
        <v>1386.0926584953652</v>
      </c>
      <c r="D10" t="s">
        <v>98</v>
      </c>
      <c r="E10">
        <f t="shared" si="0"/>
        <v>8</v>
      </c>
      <c r="G10" s="14">
        <f t="shared" si="1"/>
        <v>2772.1853169907304</v>
      </c>
      <c r="J10" s="15"/>
    </row>
    <row r="11" spans="1:10" x14ac:dyDescent="0.25">
      <c r="A11" t="s">
        <v>97</v>
      </c>
      <c r="B11">
        <v>18</v>
      </c>
      <c r="C11">
        <f>(AVERAGE('[2]plot-data (1)'!$B15,'[3]plot-data (2)'!$B15,'[4]plot-data (4)'!$B15)/100)*('USER.DEFINED.PARAMETERS'!E$2*24)</f>
        <v>1117.2649572577689</v>
      </c>
      <c r="D11" t="s">
        <v>98</v>
      </c>
      <c r="E11">
        <f t="shared" si="0"/>
        <v>10</v>
      </c>
      <c r="G11" s="14">
        <f t="shared" si="1"/>
        <v>2234.5299145155377</v>
      </c>
      <c r="J11" s="15"/>
    </row>
    <row r="12" spans="1:10" x14ac:dyDescent="0.25">
      <c r="A12" t="s">
        <v>97</v>
      </c>
      <c r="B12">
        <v>20</v>
      </c>
      <c r="C12">
        <f>(AVERAGE('[2]plot-data (1)'!$B16,'[3]plot-data (2)'!$B16,'[4]plot-data (4)'!$B16)/100)*('USER.DEFINED.PARAMETERS'!E$2*24)</f>
        <v>1089.6050265433771</v>
      </c>
      <c r="D12" t="s">
        <v>98</v>
      </c>
      <c r="E12">
        <f t="shared" si="0"/>
        <v>12</v>
      </c>
      <c r="G12" s="14">
        <f t="shared" si="1"/>
        <v>2179.2100530867542</v>
      </c>
      <c r="J12" s="15"/>
    </row>
    <row r="13" spans="1:10" x14ac:dyDescent="0.25">
      <c r="A13" t="s">
        <v>97</v>
      </c>
      <c r="B13">
        <v>22</v>
      </c>
      <c r="C13">
        <f>(AVERAGE('[2]plot-data (1)'!$B17,'[3]plot-data (2)'!$B17,'[4]plot-data (4)'!$B17)/100)*('USER.DEFINED.PARAMETERS'!E$2*24)</f>
        <v>938.0742610092509</v>
      </c>
      <c r="D13" t="s">
        <v>98</v>
      </c>
      <c r="E13">
        <f t="shared" si="0"/>
        <v>14</v>
      </c>
      <c r="G13" s="14">
        <f t="shared" si="1"/>
        <v>1876.1485220185018</v>
      </c>
      <c r="J13" s="15"/>
    </row>
    <row r="14" spans="1:10" x14ac:dyDescent="0.25">
      <c r="A14" t="s">
        <v>97</v>
      </c>
      <c r="B14">
        <v>24</v>
      </c>
      <c r="C14">
        <f>(AVERAGE('[2]plot-data (1)'!$B18,'[3]plot-data (2)'!$B18,'[4]plot-data (4)'!$B18)/100)*('USER.DEFINED.PARAMETERS'!E$2*24)</f>
        <v>395.98540145985316</v>
      </c>
      <c r="D14" t="s">
        <v>98</v>
      </c>
      <c r="E14">
        <f t="shared" si="0"/>
        <v>16</v>
      </c>
      <c r="G14" s="14">
        <f t="shared" si="1"/>
        <v>791.97080291970633</v>
      </c>
      <c r="J14" s="15"/>
    </row>
    <row r="15" spans="1:10" x14ac:dyDescent="0.25">
      <c r="G15" s="14"/>
      <c r="J15" s="15"/>
    </row>
    <row r="16" spans="1:10" x14ac:dyDescent="0.25">
      <c r="G16" s="14"/>
      <c r="J16" s="15"/>
    </row>
    <row r="17" spans="7:10" x14ac:dyDescent="0.25">
      <c r="G17" s="14"/>
      <c r="J17" s="15"/>
    </row>
    <row r="18" spans="7:10" x14ac:dyDescent="0.25">
      <c r="G18" s="14"/>
      <c r="J18" s="15"/>
    </row>
    <row r="19" spans="7:10" x14ac:dyDescent="0.25">
      <c r="G19" s="14"/>
      <c r="J19" s="15"/>
    </row>
    <row r="20" spans="7:10" x14ac:dyDescent="0.25">
      <c r="G20" s="14"/>
      <c r="J20" s="15"/>
    </row>
    <row r="21" spans="7:10" x14ac:dyDescent="0.25">
      <c r="G21" s="14"/>
      <c r="J21" s="15"/>
    </row>
    <row r="22" spans="7:10" x14ac:dyDescent="0.25">
      <c r="G22" s="14"/>
      <c r="J22" s="15"/>
    </row>
    <row r="23" spans="7:10" x14ac:dyDescent="0.25">
      <c r="G23" s="14"/>
      <c r="J23" s="15"/>
    </row>
    <row r="24" spans="7:10" x14ac:dyDescent="0.25">
      <c r="G24" s="14"/>
      <c r="J24" s="15"/>
    </row>
    <row r="25" spans="7:10" x14ac:dyDescent="0.25">
      <c r="G25" s="14"/>
      <c r="J25" s="15"/>
    </row>
    <row r="26" spans="7:10" x14ac:dyDescent="0.25">
      <c r="G26" s="14"/>
      <c r="J26" s="15"/>
    </row>
    <row r="27" spans="7:10" x14ac:dyDescent="0.25">
      <c r="G27" s="14"/>
      <c r="J27" s="15"/>
    </row>
    <row r="28" spans="7:10" x14ac:dyDescent="0.25">
      <c r="G28" s="14"/>
      <c r="J28" s="15"/>
    </row>
    <row r="29" spans="7:10" x14ac:dyDescent="0.25">
      <c r="G29" s="14"/>
      <c r="J29" s="15"/>
    </row>
    <row r="30" spans="7:10" x14ac:dyDescent="0.25">
      <c r="G30" s="14" t="s">
        <v>109</v>
      </c>
      <c r="H30" t="s">
        <v>113</v>
      </c>
      <c r="J30" s="15"/>
    </row>
    <row r="31" spans="7:10" x14ac:dyDescent="0.25">
      <c r="G31" s="14"/>
      <c r="J31" s="15"/>
    </row>
    <row r="32" spans="7:10" x14ac:dyDescent="0.25">
      <c r="G32" s="14"/>
      <c r="J32" s="15"/>
    </row>
    <row r="33" spans="7:10" x14ac:dyDescent="0.25">
      <c r="G33" s="14" t="s">
        <v>112</v>
      </c>
      <c r="H33" t="s">
        <v>114</v>
      </c>
      <c r="I33" t="s">
        <v>115</v>
      </c>
      <c r="J33" s="15"/>
    </row>
    <row r="34" spans="7:10" x14ac:dyDescent="0.25">
      <c r="G34" s="14" t="s">
        <v>110</v>
      </c>
      <c r="H34" t="s">
        <v>111</v>
      </c>
      <c r="J34" s="15"/>
    </row>
    <row r="35" spans="7:10" x14ac:dyDescent="0.25">
      <c r="G35" s="14" t="s">
        <v>116</v>
      </c>
      <c r="H35" s="20" t="s">
        <v>117</v>
      </c>
      <c r="J35" s="15"/>
    </row>
    <row r="36" spans="7:10" ht="15.75" thickBot="1" x14ac:dyDescent="0.3">
      <c r="G36" s="16"/>
      <c r="H36" s="19"/>
      <c r="I36" s="17"/>
      <c r="J36" s="1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USER.DEFINED.PARAMETERS</vt:lpstr>
      <vt:lpstr>FEED.INTAKE.PATTERN.LOPES.2016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2012-08-24T00:51:46Z</dcterms:created>
  <dcterms:modified xsi:type="dcterms:W3CDTF">2024-03-06T00:47:00Z</dcterms:modified>
  <cp:category/>
  <cp:contentStatus/>
</cp:coreProperties>
</file>