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uru\Desktop\Dell desktop\UMD\Spring 2020\ENAE 791\Project\"/>
    </mc:Choice>
  </mc:AlternateContent>
  <xr:revisionPtr revIDLastSave="0" documentId="13_ncr:1_{FAFB7BFE-7671-45D4-ABDF-A401BB670978}" xr6:coauthVersionLast="45" xr6:coauthVersionMax="45" xr10:uidLastSave="{00000000-0000-0000-0000-000000000000}"/>
  <bookViews>
    <workbookView xWindow="-108" yWindow="-108" windowWidth="23256" windowHeight="12720" activeTab="1" xr2:uid="{E04EA2D5-378E-4826-B119-4FD594E5B018}"/>
  </bookViews>
  <sheets>
    <sheet name="Inputs" sheetId="3" r:id="rId1"/>
    <sheet name="SpaceBus" sheetId="1" r:id="rId2"/>
    <sheet name="LL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27" i="1" l="1"/>
  <c r="B6" i="1"/>
  <c r="B35" i="2"/>
  <c r="E33" i="2"/>
  <c r="C26" i="2"/>
  <c r="C27" i="2" s="1"/>
  <c r="B26" i="2"/>
  <c r="B21" i="1"/>
  <c r="B22" i="2"/>
  <c r="B8" i="2"/>
  <c r="B8" i="1"/>
  <c r="F16" i="3"/>
  <c r="B39" i="1"/>
  <c r="B14" i="2"/>
  <c r="B11" i="2"/>
  <c r="B12" i="2" s="1"/>
  <c r="B11" i="1"/>
  <c r="B12" i="1" s="1"/>
  <c r="E37" i="2"/>
  <c r="B34" i="2"/>
  <c r="D33" i="2"/>
  <c r="D34" i="2" s="1"/>
  <c r="C34" i="2"/>
  <c r="C35" i="2" s="1"/>
  <c r="E29" i="2"/>
  <c r="D25" i="2"/>
  <c r="E25" i="2" s="1"/>
  <c r="E42" i="2" s="1"/>
  <c r="B27" i="2"/>
  <c r="B4" i="2"/>
  <c r="B6" i="2" s="1"/>
  <c r="B34" i="1"/>
  <c r="B31" i="1"/>
  <c r="B32" i="1" s="1"/>
  <c r="B24" i="1"/>
  <c r="B25" i="1" s="1"/>
  <c r="B1" i="3"/>
  <c r="B37" i="1" l="1"/>
  <c r="B38" i="1" s="1"/>
  <c r="B14" i="1"/>
  <c r="B15" i="1" s="1"/>
  <c r="B15" i="2"/>
  <c r="E34" i="2"/>
  <c r="B35" i="1"/>
  <c r="B5" i="2"/>
  <c r="B5" i="1"/>
  <c r="D35" i="2"/>
  <c r="E35" i="2" s="1"/>
  <c r="E38" i="2" s="1"/>
  <c r="D26" i="2"/>
  <c r="D27" i="2" s="1"/>
  <c r="E27" i="2" s="1"/>
  <c r="E30" i="2" s="1"/>
  <c r="B28" i="1"/>
  <c r="E40" i="2" l="1"/>
  <c r="E41" i="2" s="1"/>
  <c r="E43" i="2" s="1"/>
  <c r="E44" i="2" s="1"/>
  <c r="C20" i="2" s="1"/>
  <c r="B40" i="1"/>
  <c r="B44" i="1" s="1"/>
  <c r="B46" i="1" s="1"/>
  <c r="E26" i="2"/>
  <c r="C21" i="2" l="1"/>
  <c r="B41" i="1"/>
  <c r="C19" i="1" s="1"/>
  <c r="C20" i="1"/>
</calcChain>
</file>

<file path=xl/sharedStrings.xml><?xml version="1.0" encoding="utf-8"?>
<sst xmlns="http://schemas.openxmlformats.org/spreadsheetml/2006/main" count="102" uniqueCount="69">
  <si>
    <t>g0 (m/s^2)</t>
  </si>
  <si>
    <t>rho_LO2 (kg/m^3)</t>
  </si>
  <si>
    <t>rho_LH2 (kg/m^3)</t>
  </si>
  <si>
    <t>RL10 Isp (s)</t>
  </si>
  <si>
    <t>T (N)</t>
  </si>
  <si>
    <t>v_exit (km/s)</t>
  </si>
  <si>
    <t>RL10 mass (kg)</t>
  </si>
  <si>
    <t>MR</t>
  </si>
  <si>
    <t>bus diameter (m)</t>
  </si>
  <si>
    <t>LLV diameter (m)</t>
  </si>
  <si>
    <t>bus delta-v (km/s)</t>
  </si>
  <si>
    <t>bus duration, D (days)</t>
  </si>
  <si>
    <t>bus crew volume (m^3)</t>
  </si>
  <si>
    <t>bus dry mass (kg)</t>
  </si>
  <si>
    <t>bus tank mass (kg)</t>
  </si>
  <si>
    <t>crew, C</t>
  </si>
  <si>
    <t>bus crew module mass (kg)</t>
  </si>
  <si>
    <t>engine mass (kg)</t>
  </si>
  <si>
    <t>LO2 mass (kg)</t>
  </si>
  <si>
    <t>LH2 mass (kg)</t>
  </si>
  <si>
    <t>LO2 tank mass (kg)</t>
  </si>
  <si>
    <t>LH2 tank mass (kg)</t>
  </si>
  <si>
    <t>LO2 tank insulation mass (kg)</t>
  </si>
  <si>
    <t>LH2 tank insulation mass (kg)</t>
  </si>
  <si>
    <t>LO2 volume (m^3)</t>
  </si>
  <si>
    <t>LH2 volume (m^3)</t>
  </si>
  <si>
    <t>LH2 tank area (m^2)</t>
  </si>
  <si>
    <t>LO2 tank area (m^2)</t>
  </si>
  <si>
    <t>bus wet mass (kg)</t>
  </si>
  <si>
    <t>LO2 total tankage mass (kg)</t>
  </si>
  <si>
    <t>LH2 total tankage mass (kg)</t>
  </si>
  <si>
    <t>bus propulsion dry mass (kg)</t>
  </si>
  <si>
    <t>bus propellant mass (kg)</t>
  </si>
  <si>
    <t>LLV delta-v (km/s)</t>
  </si>
  <si>
    <t>LLV duration, D (days)</t>
  </si>
  <si>
    <t>LLV crew volume (m^3)</t>
  </si>
  <si>
    <t>LLV crew module mass (kg)</t>
  </si>
  <si>
    <t>Descent</t>
  </si>
  <si>
    <t>Ascent</t>
  </si>
  <si>
    <t>LLV crew module length (m)</t>
  </si>
  <si>
    <t>Transfer</t>
  </si>
  <si>
    <t>Total</t>
  </si>
  <si>
    <t>LLV tank mass (kg)</t>
  </si>
  <si>
    <t>LLV propulsion dry mass (kg)</t>
  </si>
  <si>
    <t>LLV propellant mass (kg)</t>
  </si>
  <si>
    <t>LLV dry mass (kg)</t>
  </si>
  <si>
    <t>LLV wet mass (kg)</t>
  </si>
  <si>
    <t>COPV diameter (m)</t>
  </si>
  <si>
    <t>COPV quantity</t>
  </si>
  <si>
    <t>COPV pressure (Pa)</t>
  </si>
  <si>
    <t>He molar mass (kg)</t>
  </si>
  <si>
    <t>ideal gas constant</t>
  </si>
  <si>
    <t>He temperature (K)</t>
  </si>
  <si>
    <t>He mass (kg)</t>
  </si>
  <si>
    <t>total COPV mass (kg)</t>
  </si>
  <si>
    <t>COPV mass (kg)</t>
  </si>
  <si>
    <t>COPV volume (m^3)</t>
  </si>
  <si>
    <t>Landing gear mass (kg)</t>
  </si>
  <si>
    <t>Fairing area (m^3)</t>
  </si>
  <si>
    <t>Fairing mass (kg)</t>
  </si>
  <si>
    <t>Avionics mass (kg)</t>
  </si>
  <si>
    <t>Wiring mass (kg)</t>
  </si>
  <si>
    <t>thrust structure mass (kg)</t>
  </si>
  <si>
    <t>bus length (m)</t>
  </si>
  <si>
    <t>Tanker dry mass (kg)</t>
  </si>
  <si>
    <t>Launch payload (kg)</t>
  </si>
  <si>
    <t>Tanker prop mass (kg)</t>
  </si>
  <si>
    <t>LLV length (m)</t>
  </si>
  <si>
    <t>number of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</si>
</sst>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6382-B4BE-4414-96E2-33AC8A50278D}">
  <dimension ref="A1:F16"/>
  <sheetViews>
    <sheetView workbookViewId="0">
      <selection activeCell="F16" sqref="F16"/>
    </sheetView>
  </sheetViews>
  <sheetFormatPr defaultRowHeight="14.4" x14ac:dyDescent="0.3"/>
  <cols>
    <col min="1" max="1" width="20" bestFit="1" customWidth="1"/>
  </cols>
  <sheetData>
    <row r="1" spans="1:6" x14ac:dyDescent="0.3">
      <c r="A1" t="s">
        <v>0</v>
      </c>
      <c r="B1">
        <f>9.81/1000</f>
        <v>9.810000000000001E-3</v>
      </c>
    </row>
    <row r="2" spans="1:6" x14ac:dyDescent="0.3">
      <c r="A2" t="s">
        <v>1</v>
      </c>
      <c r="B2">
        <v>1140</v>
      </c>
    </row>
    <row r="3" spans="1:6" x14ac:dyDescent="0.3">
      <c r="A3" t="s">
        <v>2</v>
      </c>
      <c r="B3">
        <v>71</v>
      </c>
    </row>
    <row r="4" spans="1:6" x14ac:dyDescent="0.3">
      <c r="A4" t="s">
        <v>3</v>
      </c>
      <c r="B4">
        <v>465.5</v>
      </c>
    </row>
    <row r="5" spans="1:6" x14ac:dyDescent="0.3">
      <c r="A5" t="s">
        <v>4</v>
      </c>
      <c r="B5">
        <v>110100</v>
      </c>
    </row>
    <row r="6" spans="1:6" x14ac:dyDescent="0.3">
      <c r="A6" t="s">
        <v>5</v>
      </c>
      <c r="B6">
        <v>4.5650000000000004</v>
      </c>
    </row>
    <row r="7" spans="1:6" x14ac:dyDescent="0.3">
      <c r="A7" t="s">
        <v>6</v>
      </c>
      <c r="B7">
        <v>301.2</v>
      </c>
    </row>
    <row r="8" spans="1:6" x14ac:dyDescent="0.3">
      <c r="A8" t="s">
        <v>7</v>
      </c>
      <c r="B8">
        <v>5.88</v>
      </c>
    </row>
    <row r="9" spans="1:6" x14ac:dyDescent="0.3">
      <c r="A9" t="s">
        <v>8</v>
      </c>
      <c r="B9">
        <v>4</v>
      </c>
    </row>
    <row r="10" spans="1:6" x14ac:dyDescent="0.3">
      <c r="A10" t="s">
        <v>9</v>
      </c>
      <c r="B10">
        <v>4</v>
      </c>
    </row>
    <row r="11" spans="1:6" x14ac:dyDescent="0.3">
      <c r="A11" t="s">
        <v>15</v>
      </c>
      <c r="B11">
        <v>4</v>
      </c>
    </row>
    <row r="12" spans="1:6" x14ac:dyDescent="0.3">
      <c r="A12" t="s">
        <v>50</v>
      </c>
      <c r="B12" s="1">
        <v>4.0000000000000001E-3</v>
      </c>
    </row>
    <row r="13" spans="1:6" x14ac:dyDescent="0.3">
      <c r="A13" t="s">
        <v>51</v>
      </c>
      <c r="B13">
        <v>8.3144626181532395</v>
      </c>
    </row>
    <row r="14" spans="1:6" x14ac:dyDescent="0.3">
      <c r="A14" t="s">
        <v>52</v>
      </c>
      <c r="B14">
        <v>275</v>
      </c>
    </row>
    <row r="16" spans="1:6" x14ac:dyDescent="0.3">
      <c r="F16">
        <f>B7/2</f>
        <v>150.6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9D72-A9BE-4D79-81DD-CC8839941019}">
  <dimension ref="A1:C46"/>
  <sheetViews>
    <sheetView tabSelected="1" workbookViewId="0">
      <selection activeCell="F24" sqref="F24"/>
    </sheetView>
  </sheetViews>
  <sheetFormatPr defaultRowHeight="14.4" x14ac:dyDescent="0.3"/>
  <cols>
    <col min="1" max="1" width="24.77734375" bestFit="1" customWidth="1"/>
  </cols>
  <sheetData>
    <row r="1" spans="1:2" x14ac:dyDescent="0.3">
      <c r="A1" t="s">
        <v>8</v>
      </c>
      <c r="B1">
        <v>4</v>
      </c>
    </row>
    <row r="2" spans="1:2" x14ac:dyDescent="0.3">
      <c r="A2" t="s">
        <v>10</v>
      </c>
      <c r="B2">
        <v>9.56</v>
      </c>
    </row>
    <row r="3" spans="1:2" x14ac:dyDescent="0.3">
      <c r="A3" t="s">
        <v>11</v>
      </c>
      <c r="B3">
        <v>7</v>
      </c>
    </row>
    <row r="4" spans="1:2" x14ac:dyDescent="0.3">
      <c r="A4" t="s">
        <v>12</v>
      </c>
      <c r="B4">
        <f>1.74*Inputs!B11*B3^0.7444</f>
        <v>29.627855686868713</v>
      </c>
    </row>
    <row r="5" spans="1:2" x14ac:dyDescent="0.3">
      <c r="A5" t="s">
        <v>39</v>
      </c>
      <c r="B5">
        <f>B4/(PI()*(B1^2)/4)</f>
        <v>2.3577098428892391</v>
      </c>
    </row>
    <row r="6" spans="1:2" x14ac:dyDescent="0.3">
      <c r="A6" t="s">
        <v>16</v>
      </c>
      <c r="B6">
        <f>460*B4^0.76</f>
        <v>6042.9638931341678</v>
      </c>
    </row>
    <row r="7" spans="1:2" x14ac:dyDescent="0.3">
      <c r="A7" t="s">
        <v>68</v>
      </c>
      <c r="B7">
        <v>1</v>
      </c>
    </row>
    <row r="8" spans="1:2" x14ac:dyDescent="0.3">
      <c r="A8" t="s">
        <v>17</v>
      </c>
      <c r="B8">
        <f>B7*1.5*Inputs!B7</f>
        <v>451.79999999999995</v>
      </c>
    </row>
    <row r="9" spans="1:2" x14ac:dyDescent="0.3">
      <c r="A9" t="s">
        <v>47</v>
      </c>
      <c r="B9">
        <v>0.66</v>
      </c>
    </row>
    <row r="10" spans="1:2" x14ac:dyDescent="0.3">
      <c r="A10" t="s">
        <v>48</v>
      </c>
      <c r="B10">
        <v>4</v>
      </c>
    </row>
    <row r="11" spans="1:2" x14ac:dyDescent="0.3">
      <c r="A11" t="s">
        <v>56</v>
      </c>
      <c r="B11">
        <f>B10*(4/3)*PI()*(B9/2)^3</f>
        <v>0.60213021435763414</v>
      </c>
    </row>
    <row r="12" spans="1:2" x14ac:dyDescent="0.3">
      <c r="A12" t="s">
        <v>55</v>
      </c>
      <c r="B12">
        <f>115.3*B11+3</f>
        <v>72.425613715435219</v>
      </c>
    </row>
    <row r="13" spans="1:2" x14ac:dyDescent="0.3">
      <c r="A13" t="s">
        <v>49</v>
      </c>
      <c r="B13" s="1">
        <v>27579000</v>
      </c>
    </row>
    <row r="14" spans="1:2" x14ac:dyDescent="0.3">
      <c r="A14" t="s">
        <v>53</v>
      </c>
      <c r="B14" s="2">
        <f>B13*B11*Inputs!B12/(Inputs!B13*Inputs!B14)</f>
        <v>29.051064295014097</v>
      </c>
    </row>
    <row r="15" spans="1:2" x14ac:dyDescent="0.3">
      <c r="A15" t="s">
        <v>54</v>
      </c>
      <c r="B15" s="2">
        <f>B12+B14</f>
        <v>101.47667801044932</v>
      </c>
    </row>
    <row r="16" spans="1:2" x14ac:dyDescent="0.3">
      <c r="A16" t="s">
        <v>63</v>
      </c>
      <c r="B16">
        <v>16.211600000000001</v>
      </c>
    </row>
    <row r="17" spans="1:3" x14ac:dyDescent="0.3">
      <c r="A17" t="s">
        <v>58</v>
      </c>
      <c r="B17">
        <v>157.0796</v>
      </c>
    </row>
    <row r="18" spans="1:3" x14ac:dyDescent="0.3">
      <c r="A18" t="s">
        <v>59</v>
      </c>
      <c r="B18">
        <v>1660.1</v>
      </c>
    </row>
    <row r="19" spans="1:3" x14ac:dyDescent="0.3">
      <c r="A19" t="s">
        <v>60</v>
      </c>
      <c r="B19" s="3">
        <v>645.3827</v>
      </c>
      <c r="C19">
        <f>10*B41^0.361</f>
        <v>645.38254099113271</v>
      </c>
    </row>
    <row r="20" spans="1:3" x14ac:dyDescent="0.3">
      <c r="A20" t="s">
        <v>61</v>
      </c>
      <c r="B20" s="3">
        <v>681.73310000000004</v>
      </c>
      <c r="C20">
        <f>1.058*SQRT(B41)*B16^0.25</f>
        <v>681.73278059505719</v>
      </c>
    </row>
    <row r="21" spans="1:3" x14ac:dyDescent="0.3">
      <c r="A21" t="s">
        <v>62</v>
      </c>
      <c r="B21">
        <f>0.000255*B7*Inputs!B5</f>
        <v>28.075500000000002</v>
      </c>
    </row>
    <row r="23" spans="1:3" x14ac:dyDescent="0.3">
      <c r="A23" t="s">
        <v>18</v>
      </c>
      <c r="B23">
        <v>77269</v>
      </c>
    </row>
    <row r="24" spans="1:3" x14ac:dyDescent="0.3">
      <c r="A24" t="s">
        <v>24</v>
      </c>
      <c r="B24">
        <f>B23/Inputs!B2</f>
        <v>67.779824561403515</v>
      </c>
    </row>
    <row r="25" spans="1:3" x14ac:dyDescent="0.3">
      <c r="A25" t="s">
        <v>20</v>
      </c>
      <c r="B25">
        <f>12.16*B24</f>
        <v>824.2026666666668</v>
      </c>
    </row>
    <row r="26" spans="1:3" x14ac:dyDescent="0.3">
      <c r="A26" t="s">
        <v>27</v>
      </c>
      <c r="B26">
        <v>80.403800000000004</v>
      </c>
    </row>
    <row r="27" spans="1:3" x14ac:dyDescent="0.3">
      <c r="A27" t="s">
        <v>22</v>
      </c>
      <c r="B27">
        <f>1.123*B26</f>
        <v>90.293467399999997</v>
      </c>
    </row>
    <row r="28" spans="1:3" x14ac:dyDescent="0.3">
      <c r="A28" t="s">
        <v>29</v>
      </c>
      <c r="B28">
        <f>B25+B27</f>
        <v>914.49613406666685</v>
      </c>
    </row>
    <row r="30" spans="1:3" x14ac:dyDescent="0.3">
      <c r="A30" t="s">
        <v>19</v>
      </c>
      <c r="B30">
        <v>13141</v>
      </c>
    </row>
    <row r="31" spans="1:3" x14ac:dyDescent="0.3">
      <c r="A31" t="s">
        <v>25</v>
      </c>
      <c r="B31">
        <f>B30/Inputs!B3</f>
        <v>185.08450704225353</v>
      </c>
    </row>
    <row r="32" spans="1:3" x14ac:dyDescent="0.3">
      <c r="A32" t="s">
        <v>21</v>
      </c>
      <c r="B32">
        <f>9.09*B31</f>
        <v>1682.4181690140847</v>
      </c>
    </row>
    <row r="33" spans="1:2" x14ac:dyDescent="0.3">
      <c r="A33" t="s">
        <v>26</v>
      </c>
      <c r="B33">
        <v>174.2475</v>
      </c>
    </row>
    <row r="34" spans="1:2" x14ac:dyDescent="0.3">
      <c r="A34" t="s">
        <v>23</v>
      </c>
      <c r="B34">
        <f>2.88*B33</f>
        <v>501.83279999999996</v>
      </c>
    </row>
    <row r="35" spans="1:2" x14ac:dyDescent="0.3">
      <c r="A35" t="s">
        <v>30</v>
      </c>
      <c r="B35">
        <f>B32+B34</f>
        <v>2184.2509690140846</v>
      </c>
    </row>
    <row r="37" spans="1:2" x14ac:dyDescent="0.3">
      <c r="A37" t="s">
        <v>14</v>
      </c>
      <c r="B37">
        <f>B25+B27+B32+B34</f>
        <v>3098.7471030807519</v>
      </c>
    </row>
    <row r="38" spans="1:2" x14ac:dyDescent="0.3">
      <c r="A38" t="s">
        <v>31</v>
      </c>
      <c r="B38">
        <f>B37+B8</f>
        <v>3550.5471030807521</v>
      </c>
    </row>
    <row r="39" spans="1:2" x14ac:dyDescent="0.3">
      <c r="A39" t="s">
        <v>32</v>
      </c>
      <c r="B39">
        <f>B23+B30</f>
        <v>90410</v>
      </c>
    </row>
    <row r="40" spans="1:2" x14ac:dyDescent="0.3">
      <c r="A40" t="s">
        <v>13</v>
      </c>
      <c r="B40">
        <f>B6+B8+B37+B15+B18+B19+B20+B21</f>
        <v>12710.27897422537</v>
      </c>
    </row>
    <row r="41" spans="1:2" x14ac:dyDescent="0.3">
      <c r="A41" t="s">
        <v>28</v>
      </c>
      <c r="B41">
        <f>B40+B39</f>
        <v>103120.27897422537</v>
      </c>
    </row>
    <row r="44" spans="1:2" x14ac:dyDescent="0.3">
      <c r="A44" t="s">
        <v>64</v>
      </c>
      <c r="B44">
        <f>B40-B21-B8-B6</f>
        <v>6187.4395810912019</v>
      </c>
    </row>
    <row r="45" spans="1:2" x14ac:dyDescent="0.3">
      <c r="A45" t="s">
        <v>65</v>
      </c>
      <c r="B45">
        <v>20000</v>
      </c>
    </row>
    <row r="46" spans="1:2" x14ac:dyDescent="0.3">
      <c r="A46" t="s">
        <v>66</v>
      </c>
      <c r="B46">
        <f>B45-B44</f>
        <v>13812.560418908797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4134-84AB-49AA-A2CB-22F943609BE1}">
  <dimension ref="A1:E44"/>
  <sheetViews>
    <sheetView workbookViewId="0">
      <selection activeCell="B2" sqref="B2"/>
    </sheetView>
  </sheetViews>
  <sheetFormatPr defaultRowHeight="14.4" x14ac:dyDescent="0.3"/>
  <cols>
    <col min="1" max="1" width="24.77734375" bestFit="1" customWidth="1"/>
  </cols>
  <sheetData>
    <row r="1" spans="1:2" x14ac:dyDescent="0.3">
      <c r="A1" t="s">
        <v>9</v>
      </c>
      <c r="B1">
        <v>5</v>
      </c>
    </row>
    <row r="2" spans="1:2" x14ac:dyDescent="0.3">
      <c r="A2" t="s">
        <v>33</v>
      </c>
      <c r="B2">
        <v>9.56</v>
      </c>
    </row>
    <row r="3" spans="1:2" x14ac:dyDescent="0.3">
      <c r="A3" t="s">
        <v>34</v>
      </c>
      <c r="B3">
        <v>14</v>
      </c>
    </row>
    <row r="4" spans="1:2" x14ac:dyDescent="0.3">
      <c r="A4" t="s">
        <v>35</v>
      </c>
      <c r="B4">
        <f>1.74*Inputs!B11*B3^0.7444</f>
        <v>49.634876928693011</v>
      </c>
    </row>
    <row r="5" spans="1:2" x14ac:dyDescent="0.3">
      <c r="A5" t="s">
        <v>39</v>
      </c>
      <c r="B5">
        <f>B4/(PI()*(B1^2)/4)</f>
        <v>2.5278835241469966</v>
      </c>
    </row>
    <row r="6" spans="1:2" x14ac:dyDescent="0.3">
      <c r="A6" t="s">
        <v>36</v>
      </c>
      <c r="B6">
        <f>460*B4^0.76</f>
        <v>8944.4968036024093</v>
      </c>
    </row>
    <row r="7" spans="1:2" x14ac:dyDescent="0.3">
      <c r="A7" t="s">
        <v>68</v>
      </c>
      <c r="B7">
        <v>5</v>
      </c>
    </row>
    <row r="8" spans="1:2" x14ac:dyDescent="0.3">
      <c r="A8" t="s">
        <v>17</v>
      </c>
      <c r="B8">
        <f>B7*1.5*Inputs!B7</f>
        <v>2259</v>
      </c>
    </row>
    <row r="9" spans="1:2" x14ac:dyDescent="0.3">
      <c r="A9" t="s">
        <v>47</v>
      </c>
      <c r="B9">
        <v>0.66</v>
      </c>
    </row>
    <row r="10" spans="1:2" x14ac:dyDescent="0.3">
      <c r="A10" t="s">
        <v>48</v>
      </c>
      <c r="B10">
        <v>4</v>
      </c>
    </row>
    <row r="11" spans="1:2" x14ac:dyDescent="0.3">
      <c r="A11" t="s">
        <v>56</v>
      </c>
      <c r="B11">
        <f>B10*(4/3)*PI()*(B9/2)^3</f>
        <v>0.60213021435763414</v>
      </c>
    </row>
    <row r="12" spans="1:2" x14ac:dyDescent="0.3">
      <c r="A12" t="s">
        <v>55</v>
      </c>
      <c r="B12">
        <f>115.3*B11+3</f>
        <v>72.425613715435219</v>
      </c>
    </row>
    <row r="13" spans="1:2" x14ac:dyDescent="0.3">
      <c r="A13" t="s">
        <v>49</v>
      </c>
      <c r="B13" s="2">
        <v>27579000</v>
      </c>
    </row>
    <row r="14" spans="1:2" x14ac:dyDescent="0.3">
      <c r="A14" t="s">
        <v>53</v>
      </c>
      <c r="B14" s="2">
        <f>B13*B11*Inputs!B12/(Inputs!B13*Inputs!B14)</f>
        <v>29.051064295014097</v>
      </c>
    </row>
    <row r="15" spans="1:2" x14ac:dyDescent="0.3">
      <c r="A15" t="s">
        <v>54</v>
      </c>
      <c r="B15" s="2">
        <f>B12+B14</f>
        <v>101.47667801044932</v>
      </c>
    </row>
    <row r="16" spans="1:2" x14ac:dyDescent="0.3">
      <c r="A16" t="s">
        <v>57</v>
      </c>
      <c r="B16">
        <v>1000</v>
      </c>
    </row>
    <row r="17" spans="1:5" x14ac:dyDescent="0.3">
      <c r="A17" t="s">
        <v>67</v>
      </c>
      <c r="B17">
        <v>24.955400000000001</v>
      </c>
    </row>
    <row r="18" spans="1:5" x14ac:dyDescent="0.3">
      <c r="A18" t="s">
        <v>58</v>
      </c>
      <c r="B18">
        <v>157.0796</v>
      </c>
    </row>
    <row r="19" spans="1:5" x14ac:dyDescent="0.3">
      <c r="A19" t="s">
        <v>59</v>
      </c>
      <c r="B19">
        <v>1660.1</v>
      </c>
    </row>
    <row r="20" spans="1:5" x14ac:dyDescent="0.3">
      <c r="A20" t="s">
        <v>60</v>
      </c>
      <c r="B20" s="3">
        <v>776.59450000000004</v>
      </c>
      <c r="C20">
        <f>10*E44^0.361</f>
        <v>776.59967607779254</v>
      </c>
    </row>
    <row r="21" spans="1:5" x14ac:dyDescent="0.3">
      <c r="A21" t="s">
        <v>61</v>
      </c>
      <c r="B21" s="3">
        <v>980.41920000000005</v>
      </c>
      <c r="C21">
        <f>1.058*SQRT(E44)*B17^0.25</f>
        <v>981.24729064671271</v>
      </c>
    </row>
    <row r="22" spans="1:5" x14ac:dyDescent="0.3">
      <c r="A22" t="s">
        <v>62</v>
      </c>
      <c r="B22">
        <f>0.000255*B7*Inputs!B5</f>
        <v>140.3775</v>
      </c>
    </row>
    <row r="24" spans="1:5" x14ac:dyDescent="0.3">
      <c r="B24" t="s">
        <v>37</v>
      </c>
      <c r="C24" t="s">
        <v>38</v>
      </c>
      <c r="D24" t="s">
        <v>40</v>
      </c>
      <c r="E24" t="s">
        <v>41</v>
      </c>
    </row>
    <row r="25" spans="1:5" x14ac:dyDescent="0.3">
      <c r="A25" t="s">
        <v>18</v>
      </c>
      <c r="B25">
        <v>7709.1</v>
      </c>
      <c r="C25">
        <v>44254</v>
      </c>
      <c r="D25">
        <f>SpaceBus!B23</f>
        <v>77269</v>
      </c>
      <c r="E25">
        <f>SUM(B25:D25)</f>
        <v>129232.1</v>
      </c>
    </row>
    <row r="26" spans="1:5" x14ac:dyDescent="0.3">
      <c r="A26" t="s">
        <v>24</v>
      </c>
      <c r="B26">
        <f>B25/Inputs!$B$2</f>
        <v>6.7623684210526323</v>
      </c>
      <c r="C26">
        <f>C25/Inputs!$B$2</f>
        <v>38.819298245614036</v>
      </c>
      <c r="D26">
        <f>D25/Inputs!$B$2</f>
        <v>67.779824561403515</v>
      </c>
      <c r="E26">
        <f>SUM(B26:D26)</f>
        <v>113.36149122807018</v>
      </c>
    </row>
    <row r="27" spans="1:5" x14ac:dyDescent="0.3">
      <c r="A27" t="s">
        <v>20</v>
      </c>
      <c r="B27">
        <f>12.16*B26</f>
        <v>82.230400000000003</v>
      </c>
      <c r="C27">
        <f>12.16*C26</f>
        <v>472.04266666666666</v>
      </c>
      <c r="D27">
        <f>12.16*D26</f>
        <v>824.2026666666668</v>
      </c>
      <c r="E27">
        <f>SUM(B27:D27)</f>
        <v>1378.4757333333334</v>
      </c>
    </row>
    <row r="28" spans="1:5" x14ac:dyDescent="0.3">
      <c r="A28" t="s">
        <v>27</v>
      </c>
      <c r="E28">
        <v>117.2193</v>
      </c>
    </row>
    <row r="29" spans="1:5" x14ac:dyDescent="0.3">
      <c r="A29" t="s">
        <v>22</v>
      </c>
      <c r="E29">
        <f>1.123*E28</f>
        <v>131.6372739</v>
      </c>
    </row>
    <row r="30" spans="1:5" x14ac:dyDescent="0.3">
      <c r="A30" t="s">
        <v>29</v>
      </c>
      <c r="E30">
        <f>E27+E29</f>
        <v>1510.1130072333335</v>
      </c>
    </row>
    <row r="32" spans="1:5" x14ac:dyDescent="0.3">
      <c r="B32" t="s">
        <v>37</v>
      </c>
      <c r="C32" t="s">
        <v>38</v>
      </c>
      <c r="D32" t="s">
        <v>40</v>
      </c>
      <c r="E32" t="s">
        <v>41</v>
      </c>
    </row>
    <row r="33" spans="1:5" x14ac:dyDescent="0.3">
      <c r="A33" t="s">
        <v>19</v>
      </c>
      <c r="B33" s="4">
        <v>1311.1</v>
      </c>
      <c r="C33" s="4">
        <v>7526.2</v>
      </c>
      <c r="D33" s="4">
        <f>SpaceBus!B30</f>
        <v>13141</v>
      </c>
      <c r="E33" s="4">
        <f>SUM(B33:D33)</f>
        <v>21978.3</v>
      </c>
    </row>
    <row r="34" spans="1:5" x14ac:dyDescent="0.3">
      <c r="A34" t="s">
        <v>25</v>
      </c>
      <c r="B34" s="4">
        <f>B33/Inputs!$B$3</f>
        <v>18.46619718309859</v>
      </c>
      <c r="C34" s="4">
        <f>C33/Inputs!$B$3</f>
        <v>106.00281690140845</v>
      </c>
      <c r="D34" s="4">
        <f>D33/Inputs!$B$3</f>
        <v>185.08450704225353</v>
      </c>
      <c r="E34" s="4">
        <f>SUM(B34:D34)</f>
        <v>309.55352112676059</v>
      </c>
    </row>
    <row r="35" spans="1:5" x14ac:dyDescent="0.3">
      <c r="A35" t="s">
        <v>21</v>
      </c>
      <c r="B35" s="4">
        <f>9.09*B34</f>
        <v>167.85773239436617</v>
      </c>
      <c r="C35" s="4">
        <f>9.09*C34</f>
        <v>963.56560563380276</v>
      </c>
      <c r="D35" s="4">
        <f t="shared" ref="D35" si="0">9.09*D34</f>
        <v>1682.4181690140847</v>
      </c>
      <c r="E35" s="4">
        <f>SUM(B35:D35)</f>
        <v>2813.8415070422534</v>
      </c>
    </row>
    <row r="36" spans="1:5" x14ac:dyDescent="0.3">
      <c r="A36" t="s">
        <v>26</v>
      </c>
      <c r="B36" s="4"/>
      <c r="C36" s="4"/>
      <c r="D36" s="4"/>
      <c r="E36" s="4">
        <v>274.77839999999998</v>
      </c>
    </row>
    <row r="37" spans="1:5" x14ac:dyDescent="0.3">
      <c r="A37" t="s">
        <v>23</v>
      </c>
      <c r="B37" s="4"/>
      <c r="C37" s="4"/>
      <c r="D37" s="4"/>
      <c r="E37" s="4">
        <f>2.88*E36</f>
        <v>791.36179199999992</v>
      </c>
    </row>
    <row r="38" spans="1:5" x14ac:dyDescent="0.3">
      <c r="A38" t="s">
        <v>30</v>
      </c>
      <c r="B38" s="4"/>
      <c r="C38" s="4"/>
      <c r="D38" s="4"/>
      <c r="E38" s="4">
        <f>E35+E37</f>
        <v>3605.2032990422531</v>
      </c>
    </row>
    <row r="40" spans="1:5" x14ac:dyDescent="0.3">
      <c r="A40" t="s">
        <v>42</v>
      </c>
      <c r="E40">
        <f>E30+E38</f>
        <v>5115.3163062755866</v>
      </c>
    </row>
    <row r="41" spans="1:5" x14ac:dyDescent="0.3">
      <c r="A41" t="s">
        <v>43</v>
      </c>
      <c r="E41">
        <f>E40+B8+B15+B16+B19+B20+B21+B22</f>
        <v>12033.284184286036</v>
      </c>
    </row>
    <row r="42" spans="1:5" x14ac:dyDescent="0.3">
      <c r="A42" t="s">
        <v>44</v>
      </c>
      <c r="E42" s="3">
        <f>E25+E33</f>
        <v>151210.4</v>
      </c>
    </row>
    <row r="43" spans="1:5" x14ac:dyDescent="0.3">
      <c r="A43" t="s">
        <v>45</v>
      </c>
      <c r="E43">
        <f>E41+B6</f>
        <v>20977.780987888444</v>
      </c>
    </row>
    <row r="44" spans="1:5" x14ac:dyDescent="0.3">
      <c r="A44" t="s">
        <v>46</v>
      </c>
      <c r="E44" s="3">
        <f>E43+E42</f>
        <v>172188.18098788842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SpaceBus</vt:lpstr>
      <vt:lpstr>LLV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Furumo</dc:creator>
  <cp:lastModifiedBy>John Furumo</cp:lastModifiedBy>
  <dcterms:created xsi:type="dcterms:W3CDTF">2020-05-19T03:44:52Z</dcterms:created>
  <dcterms:modified xsi:type="dcterms:W3CDTF">2020-06-22T21:27:44Z</dcterms:modified>
</cp:coreProperties>
</file>