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bal\Github\lap-time-simulator\Point-mass\"/>
    </mc:Choice>
  </mc:AlternateContent>
  <xr:revisionPtr revIDLastSave="0" documentId="13_ncr:1_{C74728FF-2730-4D6E-AD84-7250F2565E29}" xr6:coauthVersionLast="45" xr6:coauthVersionMax="45" xr10:uidLastSave="{00000000-0000-0000-0000-000000000000}"/>
  <bookViews>
    <workbookView xWindow="-108" yWindow="-108" windowWidth="23256" windowHeight="12576" activeTab="1" xr2:uid="{B275D8FD-6DAE-4135-9E41-C286E374ABE9}"/>
  </bookViews>
  <sheets>
    <sheet name="model 1" sheetId="1" r:id="rId1"/>
    <sheet name="model 2" sheetId="3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3" l="1"/>
  <c r="E16" i="3"/>
  <c r="I11" i="3" l="1"/>
  <c r="L46" i="3"/>
  <c r="G46" i="3"/>
  <c r="F46" i="3"/>
  <c r="E46" i="3"/>
  <c r="L45" i="3"/>
  <c r="G45" i="3"/>
  <c r="F45" i="3"/>
  <c r="H45" i="3" s="1"/>
  <c r="I45" i="3" s="1"/>
  <c r="K45" i="3" s="1"/>
  <c r="E45" i="3"/>
  <c r="L44" i="3"/>
  <c r="G44" i="3"/>
  <c r="F44" i="3"/>
  <c r="E44" i="3"/>
  <c r="L43" i="3"/>
  <c r="G43" i="3"/>
  <c r="F43" i="3"/>
  <c r="E43" i="3"/>
  <c r="L42" i="3"/>
  <c r="G42" i="3"/>
  <c r="F42" i="3"/>
  <c r="E42" i="3"/>
  <c r="L41" i="3"/>
  <c r="G41" i="3"/>
  <c r="F41" i="3"/>
  <c r="H41" i="3" s="1"/>
  <c r="I41" i="3" s="1"/>
  <c r="K41" i="3" s="1"/>
  <c r="R41" i="3" s="1"/>
  <c r="E41" i="3"/>
  <c r="L40" i="3"/>
  <c r="G40" i="3"/>
  <c r="F40" i="3"/>
  <c r="H40" i="3" s="1"/>
  <c r="I40" i="3" s="1"/>
  <c r="K40" i="3" s="1"/>
  <c r="E40" i="3"/>
  <c r="L39" i="3"/>
  <c r="G39" i="3"/>
  <c r="F39" i="3"/>
  <c r="E39" i="3"/>
  <c r="L38" i="3"/>
  <c r="G38" i="3"/>
  <c r="F38" i="3"/>
  <c r="E38" i="3"/>
  <c r="L37" i="3"/>
  <c r="G37" i="3"/>
  <c r="F37" i="3"/>
  <c r="H37" i="3" s="1"/>
  <c r="I37" i="3" s="1"/>
  <c r="K37" i="3" s="1"/>
  <c r="E37" i="3"/>
  <c r="L36" i="3"/>
  <c r="G36" i="3"/>
  <c r="F36" i="3"/>
  <c r="E36" i="3"/>
  <c r="L35" i="3"/>
  <c r="G35" i="3"/>
  <c r="F35" i="3"/>
  <c r="H35" i="3" s="1"/>
  <c r="I35" i="3" s="1"/>
  <c r="K35" i="3" s="1"/>
  <c r="E35" i="3"/>
  <c r="L34" i="3"/>
  <c r="G34" i="3"/>
  <c r="F34" i="3"/>
  <c r="E34" i="3"/>
  <c r="L33" i="3"/>
  <c r="G33" i="3"/>
  <c r="F33" i="3"/>
  <c r="H33" i="3" s="1"/>
  <c r="I33" i="3" s="1"/>
  <c r="K33" i="3" s="1"/>
  <c r="E33" i="3"/>
  <c r="L32" i="3"/>
  <c r="G32" i="3"/>
  <c r="F32" i="3"/>
  <c r="H32" i="3" s="1"/>
  <c r="I32" i="3" s="1"/>
  <c r="K32" i="3" s="1"/>
  <c r="E32" i="3"/>
  <c r="L31" i="3"/>
  <c r="G31" i="3"/>
  <c r="F31" i="3"/>
  <c r="H31" i="3" s="1"/>
  <c r="I31" i="3" s="1"/>
  <c r="K31" i="3" s="1"/>
  <c r="E31" i="3"/>
  <c r="L30" i="3"/>
  <c r="G30" i="3"/>
  <c r="F30" i="3"/>
  <c r="E30" i="3"/>
  <c r="L29" i="3"/>
  <c r="G29" i="3"/>
  <c r="F29" i="3"/>
  <c r="H29" i="3" s="1"/>
  <c r="I29" i="3" s="1"/>
  <c r="K29" i="3" s="1"/>
  <c r="E29" i="3"/>
  <c r="L28" i="3"/>
  <c r="G28" i="3"/>
  <c r="F28" i="3"/>
  <c r="E28" i="3"/>
  <c r="L27" i="3"/>
  <c r="G27" i="3"/>
  <c r="F27" i="3"/>
  <c r="H27" i="3" s="1"/>
  <c r="I27" i="3" s="1"/>
  <c r="K27" i="3" s="1"/>
  <c r="O27" i="3" s="1"/>
  <c r="O28" i="3" s="1"/>
  <c r="E27" i="3"/>
  <c r="L26" i="3"/>
  <c r="G26" i="3"/>
  <c r="F26" i="3"/>
  <c r="E26" i="3"/>
  <c r="L25" i="3"/>
  <c r="G25" i="3"/>
  <c r="F25" i="3"/>
  <c r="H25" i="3" s="1"/>
  <c r="I25" i="3" s="1"/>
  <c r="K25" i="3" s="1"/>
  <c r="O25" i="3" s="1"/>
  <c r="E25" i="3"/>
  <c r="L24" i="3"/>
  <c r="G24" i="3"/>
  <c r="H24" i="3" s="1"/>
  <c r="I24" i="3" s="1"/>
  <c r="K24" i="3" s="1"/>
  <c r="F24" i="3"/>
  <c r="E24" i="3"/>
  <c r="L23" i="3"/>
  <c r="G23" i="3"/>
  <c r="F23" i="3"/>
  <c r="H23" i="3" s="1"/>
  <c r="I23" i="3" s="1"/>
  <c r="K23" i="3" s="1"/>
  <c r="E23" i="3"/>
  <c r="L22" i="3"/>
  <c r="G22" i="3"/>
  <c r="F22" i="3"/>
  <c r="E22" i="3"/>
  <c r="L21" i="3"/>
  <c r="G21" i="3"/>
  <c r="F21" i="3"/>
  <c r="H21" i="3" s="1"/>
  <c r="I21" i="3" s="1"/>
  <c r="K21" i="3" s="1"/>
  <c r="O21" i="3" s="1"/>
  <c r="E21" i="3"/>
  <c r="L20" i="3"/>
  <c r="G20" i="3"/>
  <c r="F20" i="3"/>
  <c r="H20" i="3" s="1"/>
  <c r="I20" i="3" s="1"/>
  <c r="E20" i="3"/>
  <c r="L19" i="3"/>
  <c r="G19" i="3"/>
  <c r="F19" i="3"/>
  <c r="H19" i="3" s="1"/>
  <c r="I19" i="3" s="1"/>
  <c r="K19" i="3" s="1"/>
  <c r="E19" i="3"/>
  <c r="L18" i="3"/>
  <c r="G18" i="3"/>
  <c r="F18" i="3"/>
  <c r="E18" i="3"/>
  <c r="L17" i="3"/>
  <c r="M17" i="3" s="1"/>
  <c r="M18" i="3" s="1"/>
  <c r="M19" i="3" s="1"/>
  <c r="M20" i="3" s="1"/>
  <c r="M21" i="3" s="1"/>
  <c r="M22" i="3" s="1"/>
  <c r="G17" i="3"/>
  <c r="F17" i="3"/>
  <c r="H17" i="3" s="1"/>
  <c r="I17" i="3" s="1"/>
  <c r="K17" i="3" s="1"/>
  <c r="E17" i="3"/>
  <c r="F16" i="3"/>
  <c r="H16" i="3" s="1"/>
  <c r="I16" i="3" s="1"/>
  <c r="K16" i="3" s="1"/>
  <c r="C7" i="3"/>
  <c r="O23" i="3" l="1"/>
  <c r="Q23" i="3"/>
  <c r="R40" i="3"/>
  <c r="P40" i="3"/>
  <c r="O24" i="3"/>
  <c r="Q24" i="3"/>
  <c r="P41" i="3"/>
  <c r="P42" i="3" s="1"/>
  <c r="P43" i="3" s="1"/>
  <c r="P44" i="3" s="1"/>
  <c r="P45" i="3" s="1"/>
  <c r="P46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Q25" i="3"/>
  <c r="H18" i="3"/>
  <c r="I18" i="3" s="1"/>
  <c r="K18" i="3" s="1"/>
  <c r="H22" i="3"/>
  <c r="I22" i="3" s="1"/>
  <c r="K22" i="3" s="1"/>
  <c r="H26" i="3"/>
  <c r="I26" i="3" s="1"/>
  <c r="K26" i="3" s="1"/>
  <c r="H30" i="3"/>
  <c r="I30" i="3" s="1"/>
  <c r="K30" i="3" s="1"/>
  <c r="H34" i="3"/>
  <c r="I34" i="3" s="1"/>
  <c r="K34" i="3" s="1"/>
  <c r="H38" i="3"/>
  <c r="I38" i="3" s="1"/>
  <c r="K38" i="3" s="1"/>
  <c r="H42" i="3"/>
  <c r="I42" i="3" s="1"/>
  <c r="K42" i="3" s="1"/>
  <c r="H44" i="3"/>
  <c r="I44" i="3" s="1"/>
  <c r="K44" i="3" s="1"/>
  <c r="H46" i="3"/>
  <c r="I46" i="3" s="1"/>
  <c r="K46" i="3" s="1"/>
  <c r="H28" i="3"/>
  <c r="I28" i="3" s="1"/>
  <c r="J28" i="3" s="1"/>
  <c r="H36" i="3"/>
  <c r="I36" i="3" s="1"/>
  <c r="Q21" i="3"/>
  <c r="Q20" i="3" s="1"/>
  <c r="Q19" i="3" s="1"/>
  <c r="Q18" i="3" s="1"/>
  <c r="Q17" i="3" s="1"/>
  <c r="Q16" i="3" s="1"/>
  <c r="Q46" i="3" s="1"/>
  <c r="H39" i="3"/>
  <c r="I39" i="3" s="1"/>
  <c r="K39" i="3" s="1"/>
  <c r="H43" i="3"/>
  <c r="I43" i="3" s="1"/>
  <c r="K43" i="3" s="1"/>
  <c r="Q27" i="3"/>
  <c r="Q45" i="3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K36" i="3"/>
  <c r="J36" i="3"/>
  <c r="K20" i="3"/>
  <c r="J20" i="3"/>
  <c r="J37" i="3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J45" i="3"/>
  <c r="J25" i="3"/>
  <c r="K28" i="3"/>
  <c r="Q28" i="3" s="1"/>
  <c r="J33" i="3"/>
  <c r="J17" i="3"/>
  <c r="J42" i="3"/>
  <c r="J30" i="3"/>
  <c r="J46" i="3"/>
  <c r="J31" i="3"/>
  <c r="J21" i="3"/>
  <c r="J27" i="3"/>
  <c r="J40" i="3"/>
  <c r="J32" i="3"/>
  <c r="J24" i="3"/>
  <c r="J26" i="3"/>
  <c r="J29" i="3"/>
  <c r="J43" i="3"/>
  <c r="J19" i="3"/>
  <c r="J18" i="3"/>
  <c r="J23" i="3"/>
  <c r="J39" i="3"/>
  <c r="J16" i="3"/>
  <c r="J22" i="3"/>
  <c r="J35" i="3"/>
  <c r="J38" i="3"/>
  <c r="J41" i="3"/>
  <c r="P38" i="3" l="1"/>
  <c r="R38" i="3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39" i="3"/>
  <c r="P39" i="3"/>
  <c r="J44" i="3"/>
  <c r="O26" i="3"/>
  <c r="Q26" i="3"/>
  <c r="O22" i="3"/>
  <c r="Q22" i="3"/>
  <c r="J34" i="3"/>
  <c r="O29" i="3"/>
  <c r="S28" i="3" l="1"/>
  <c r="R26" i="3"/>
  <c r="R25" i="3" s="1"/>
  <c r="S27" i="3"/>
  <c r="S29" i="3"/>
  <c r="O30" i="3"/>
  <c r="T28" i="3" l="1"/>
  <c r="U28" i="3"/>
  <c r="T29" i="3"/>
  <c r="U29" i="3"/>
  <c r="T27" i="3"/>
  <c r="U27" i="3"/>
  <c r="R24" i="3"/>
  <c r="S25" i="3"/>
  <c r="S26" i="3"/>
  <c r="S30" i="3"/>
  <c r="O31" i="3"/>
  <c r="T30" i="3" l="1"/>
  <c r="U30" i="3"/>
  <c r="T26" i="3"/>
  <c r="U26" i="3"/>
  <c r="T25" i="3"/>
  <c r="U25" i="3"/>
  <c r="R23" i="3"/>
  <c r="S24" i="3"/>
  <c r="S31" i="3"/>
  <c r="O32" i="3"/>
  <c r="T24" i="3" l="1"/>
  <c r="U24" i="3"/>
  <c r="T31" i="3"/>
  <c r="U31" i="3"/>
  <c r="R22" i="3"/>
  <c r="S23" i="3"/>
  <c r="S32" i="3"/>
  <c r="O33" i="3"/>
  <c r="T23" i="3" l="1"/>
  <c r="U23" i="3"/>
  <c r="T32" i="3"/>
  <c r="U32" i="3"/>
  <c r="R21" i="3"/>
  <c r="S22" i="3"/>
  <c r="O34" i="3"/>
  <c r="S33" i="3"/>
  <c r="T22" i="3" l="1"/>
  <c r="U22" i="3"/>
  <c r="T33" i="3"/>
  <c r="U33" i="3"/>
  <c r="R20" i="3"/>
  <c r="R19" i="3" s="1"/>
  <c r="R18" i="3" s="1"/>
  <c r="R17" i="3" s="1"/>
  <c r="R16" i="3" s="1"/>
  <c r="R46" i="3" s="1"/>
  <c r="R45" i="3" s="1"/>
  <c r="R44" i="3" s="1"/>
  <c r="R43" i="3" s="1"/>
  <c r="R42" i="3" s="1"/>
  <c r="S21" i="3"/>
  <c r="O35" i="3"/>
  <c r="S34" i="3"/>
  <c r="T34" i="3" l="1"/>
  <c r="U34" i="3"/>
  <c r="T21" i="3"/>
  <c r="U21" i="3"/>
  <c r="S35" i="3"/>
  <c r="O36" i="3"/>
  <c r="T35" i="3" l="1"/>
  <c r="U35" i="3"/>
  <c r="O37" i="3"/>
  <c r="S36" i="3"/>
  <c r="T36" i="3" l="1"/>
  <c r="U36" i="3"/>
  <c r="S37" i="3"/>
  <c r="O38" i="3"/>
  <c r="T37" i="3" l="1"/>
  <c r="U37" i="3"/>
  <c r="O39" i="3"/>
  <c r="S38" i="3"/>
  <c r="T38" i="3" l="1"/>
  <c r="U38" i="3"/>
  <c r="S39" i="3"/>
  <c r="O40" i="3"/>
  <c r="T39" i="3" l="1"/>
  <c r="U39" i="3"/>
  <c r="O41" i="3"/>
  <c r="O42" i="3" s="1"/>
  <c r="S40" i="3"/>
  <c r="T40" i="3" l="1"/>
  <c r="U40" i="3"/>
  <c r="S41" i="3"/>
  <c r="T41" i="3" l="1"/>
  <c r="U41" i="3"/>
  <c r="O43" i="3"/>
  <c r="S42" i="3"/>
  <c r="T42" i="3" l="1"/>
  <c r="U42" i="3"/>
  <c r="O44" i="3"/>
  <c r="S43" i="3"/>
  <c r="T43" i="3" l="1"/>
  <c r="U43" i="3"/>
  <c r="O45" i="3"/>
  <c r="S44" i="3"/>
  <c r="T44" i="3" l="1"/>
  <c r="U44" i="3"/>
  <c r="O46" i="3"/>
  <c r="S45" i="3"/>
  <c r="T45" i="3" l="1"/>
  <c r="U45" i="3"/>
  <c r="O16" i="3"/>
  <c r="O17" i="3" s="1"/>
  <c r="S46" i="3"/>
  <c r="T46" i="3" l="1"/>
  <c r="U46" i="3"/>
  <c r="S16" i="3"/>
  <c r="U16" i="3" s="1"/>
  <c r="O18" i="3"/>
  <c r="S17" i="3"/>
  <c r="T17" i="3" l="1"/>
  <c r="U17" i="3"/>
  <c r="T16" i="3"/>
  <c r="S18" i="3"/>
  <c r="O19" i="3"/>
  <c r="O20" i="3" s="1"/>
  <c r="T18" i="3" l="1"/>
  <c r="U18" i="3"/>
  <c r="S19" i="3"/>
  <c r="S20" i="3"/>
  <c r="T20" i="3" l="1"/>
  <c r="U20" i="3"/>
  <c r="T19" i="3"/>
  <c r="U19" i="3"/>
  <c r="B1" i="3"/>
  <c r="H26" i="1"/>
  <c r="H25" i="1" s="1"/>
  <c r="H24" i="1" s="1"/>
  <c r="H23" i="1" s="1"/>
  <c r="H22" i="1" s="1"/>
  <c r="H21" i="1" s="1"/>
  <c r="H20" i="1" s="1"/>
  <c r="H54" i="1" s="1"/>
  <c r="H53" i="1" s="1"/>
  <c r="H52" i="1" s="1"/>
  <c r="H51" i="1" s="1"/>
  <c r="H50" i="1" s="1"/>
  <c r="F26" i="1"/>
  <c r="F27" i="1"/>
  <c r="F28" i="1"/>
  <c r="F29" i="1"/>
  <c r="F30" i="1"/>
  <c r="F31" i="1"/>
  <c r="F32" i="1"/>
  <c r="F33" i="1"/>
  <c r="F34" i="1" s="1"/>
  <c r="I45" i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54" i="1" s="1"/>
  <c r="I53" i="1" s="1"/>
  <c r="I52" i="1" s="1"/>
  <c r="I51" i="1" s="1"/>
  <c r="I50" i="1" s="1"/>
  <c r="I49" i="1" s="1"/>
  <c r="I46" i="1"/>
  <c r="I47" i="1"/>
  <c r="I48" i="1"/>
  <c r="H27" i="1"/>
  <c r="H28" i="1"/>
  <c r="H29" i="1"/>
  <c r="H30" i="1"/>
  <c r="H31" i="1"/>
  <c r="H32" i="1"/>
  <c r="H33" i="1"/>
  <c r="G45" i="1"/>
  <c r="G46" i="1"/>
  <c r="G47" i="1"/>
  <c r="G48" i="1"/>
  <c r="G49" i="1" s="1"/>
  <c r="G50" i="1" s="1"/>
  <c r="G51" i="1" s="1"/>
  <c r="G52" i="1" s="1"/>
  <c r="G53" i="1" s="1"/>
  <c r="G54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C7" i="1"/>
  <c r="J31" i="1" l="1"/>
  <c r="K31" i="1" s="1"/>
  <c r="J30" i="1"/>
  <c r="K30" i="1" s="1"/>
  <c r="F35" i="1"/>
  <c r="J29" i="1"/>
  <c r="K29" i="1" s="1"/>
  <c r="J27" i="1"/>
  <c r="K27" i="1" s="1"/>
  <c r="J32" i="1"/>
  <c r="K32" i="1" s="1"/>
  <c r="J28" i="1"/>
  <c r="K28" i="1" s="1"/>
  <c r="J26" i="1"/>
  <c r="K26" i="1" s="1"/>
  <c r="J33" i="1"/>
  <c r="K33" i="1" s="1"/>
  <c r="H49" i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J34" i="1" s="1"/>
  <c r="K34" i="1" s="1"/>
  <c r="D21" i="1"/>
  <c r="D22" i="1" s="1"/>
  <c r="D23" i="1" s="1"/>
  <c r="D24" i="1" s="1"/>
  <c r="D25" i="1" s="1"/>
  <c r="F36" i="1" l="1"/>
  <c r="J35" i="1"/>
  <c r="K35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F37" i="1" l="1"/>
  <c r="J36" i="1"/>
  <c r="K36" i="1" s="1"/>
  <c r="F38" i="1" l="1"/>
  <c r="J37" i="1"/>
  <c r="K37" i="1" s="1"/>
  <c r="F39" i="1" l="1"/>
  <c r="J38" i="1"/>
  <c r="K38" i="1" s="1"/>
  <c r="F40" i="1" l="1"/>
  <c r="J39" i="1"/>
  <c r="K39" i="1" s="1"/>
  <c r="F41" i="1" l="1"/>
  <c r="J40" i="1"/>
  <c r="K40" i="1" s="1"/>
  <c r="F42" i="1" l="1"/>
  <c r="J41" i="1"/>
  <c r="K41" i="1" s="1"/>
  <c r="F43" i="1" l="1"/>
  <c r="J42" i="1"/>
  <c r="K42" i="1" s="1"/>
  <c r="F44" i="1" l="1"/>
  <c r="J43" i="1"/>
  <c r="K43" i="1" s="1"/>
  <c r="F45" i="1" l="1"/>
  <c r="J44" i="1"/>
  <c r="K44" i="1" s="1"/>
  <c r="F46" i="1" l="1"/>
  <c r="J45" i="1"/>
  <c r="K45" i="1" s="1"/>
  <c r="F47" i="1" l="1"/>
  <c r="J46" i="1"/>
  <c r="K46" i="1" s="1"/>
  <c r="F48" i="1" l="1"/>
  <c r="J47" i="1"/>
  <c r="K47" i="1" s="1"/>
  <c r="F49" i="1" l="1"/>
  <c r="J48" i="1"/>
  <c r="K48" i="1" s="1"/>
  <c r="F50" i="1" l="1"/>
  <c r="J49" i="1"/>
  <c r="K49" i="1" s="1"/>
  <c r="F51" i="1" l="1"/>
  <c r="J50" i="1"/>
  <c r="K50" i="1" s="1"/>
  <c r="F52" i="1" l="1"/>
  <c r="J51" i="1"/>
  <c r="K51" i="1" s="1"/>
  <c r="F53" i="1" l="1"/>
  <c r="J52" i="1"/>
  <c r="K52" i="1" s="1"/>
  <c r="F54" i="1" l="1"/>
  <c r="J53" i="1"/>
  <c r="K53" i="1" s="1"/>
  <c r="F20" i="1" l="1"/>
  <c r="J54" i="1"/>
  <c r="K54" i="1" s="1"/>
  <c r="F21" i="1" l="1"/>
  <c r="J20" i="1"/>
  <c r="K20" i="1" s="1"/>
  <c r="F22" i="1" l="1"/>
  <c r="J21" i="1"/>
  <c r="K21" i="1" s="1"/>
  <c r="F23" i="1" l="1"/>
  <c r="J22" i="1"/>
  <c r="K22" i="1" s="1"/>
  <c r="F24" i="1" l="1"/>
  <c r="J23" i="1"/>
  <c r="K23" i="1" s="1"/>
  <c r="F25" i="1" l="1"/>
  <c r="J25" i="1" s="1"/>
  <c r="K25" i="1" s="1"/>
  <c r="J24" i="1"/>
  <c r="K24" i="1" s="1"/>
  <c r="B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tc={E2BDB34D-5EC4-4433-8270-6A7C3BB21518}</author>
    <author>tc={611232FB-E9F0-40E0-926D-08AB8BEB129D}</author>
    <author>tc={EAA903DF-B116-49F9-8258-C5566C91BDEA}</author>
  </authors>
  <commentList>
    <comment ref="E15" authorId="0" shapeId="0" xr:uid="{E2BDB34D-5EC4-4433-8270-6A7C3BB215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antes do ponto e depois do ponto</t>
      </text>
    </comment>
    <comment ref="F15" authorId="1" shapeId="0" xr:uid="{611232FB-E9F0-40E0-926D-08AB8BEB12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depois do ponto</t>
      </text>
    </comment>
    <comment ref="G15" authorId="2" shapeId="0" xr:uid="{EAA903DF-B116-49F9-8258-C5566C91BD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antes do ponto</t>
      </text>
    </comment>
  </commentList>
</comments>
</file>

<file path=xl/sharedStrings.xml><?xml version="1.0" encoding="utf-8"?>
<sst xmlns="http://schemas.openxmlformats.org/spreadsheetml/2006/main" count="108" uniqueCount="31">
  <si>
    <t>Section</t>
  </si>
  <si>
    <t>L</t>
  </si>
  <si>
    <t>dx</t>
  </si>
  <si>
    <t>x</t>
  </si>
  <si>
    <t>R</t>
  </si>
  <si>
    <t>cx</t>
  </si>
  <si>
    <t>cy</t>
  </si>
  <si>
    <t>Straight 1</t>
  </si>
  <si>
    <t>Turn 1</t>
  </si>
  <si>
    <t>Straight 2</t>
  </si>
  <si>
    <t>Turn 2</t>
  </si>
  <si>
    <t>Straight 3</t>
  </si>
  <si>
    <t>Result (s)</t>
  </si>
  <si>
    <t>GG circle radius</t>
  </si>
  <si>
    <t>Vapex</t>
  </si>
  <si>
    <t>R (m)</t>
  </si>
  <si>
    <t>Acc turn 1</t>
  </si>
  <si>
    <t>Acc turn 2</t>
  </si>
  <si>
    <t>Decel turn 1</t>
  </si>
  <si>
    <t>Decel turn 2</t>
  </si>
  <si>
    <t>V final</t>
  </si>
  <si>
    <t>t(s)</t>
  </si>
  <si>
    <t>a</t>
  </si>
  <si>
    <t>b</t>
  </si>
  <si>
    <t>c</t>
  </si>
  <si>
    <t>#</t>
  </si>
  <si>
    <t>Cos A</t>
  </si>
  <si>
    <t>A rad</t>
  </si>
  <si>
    <t>A deg</t>
  </si>
  <si>
    <t>R2</t>
  </si>
  <si>
    <t>V final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</si>
</sst>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1'!#REF!</c:f>
            </c:numRef>
          </c:xVal>
          <c:yVal>
            <c:numRef>
              <c:f>'model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581-8110-5B7C0FA1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83167"/>
        <c:axId val="201231247"/>
      </c:scatterChart>
      <c:valAx>
        <c:axId val="2881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1247"/>
        <c:crosses val="autoZero"/>
        <c:crossBetween val="midCat"/>
      </c:valAx>
      <c:valAx>
        <c:axId val="201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8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1'!$J$20:$J$54</c:f>
              <c:numCache>
                <c:formatCode>0.00</c:formatCode>
                <c:ptCount val="35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44.294469180700204</c:v>
                </c:pt>
                <c:pt idx="14">
                  <c:v>44.294469180700204</c:v>
                </c:pt>
                <c:pt idx="15">
                  <c:v>62.641839053463301</c:v>
                </c:pt>
                <c:pt idx="16">
                  <c:v>76.720271115266527</c:v>
                </c:pt>
                <c:pt idx="17">
                  <c:v>88.588938361400395</c:v>
                </c:pt>
                <c:pt idx="18">
                  <c:v>99.045444115315064</c:v>
                </c:pt>
                <c:pt idx="19">
                  <c:v>103.87973815908472</c:v>
                </c:pt>
                <c:pt idx="20">
                  <c:v>93.962758580194958</c:v>
                </c:pt>
                <c:pt idx="21">
                  <c:v>82.867363901598807</c:v>
                </c:pt>
                <c:pt idx="22">
                  <c:v>70.035705179572517</c:v>
                </c:pt>
                <c:pt idx="23">
                  <c:v>54.249423960075376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31.32091952673165</c:v>
                </c:pt>
                <c:pt idx="27">
                  <c:v>31.32091952673165</c:v>
                </c:pt>
                <c:pt idx="28">
                  <c:v>31.32091952673165</c:v>
                </c:pt>
                <c:pt idx="29">
                  <c:v>31.32091952673165</c:v>
                </c:pt>
                <c:pt idx="30">
                  <c:v>54.249423960075376</c:v>
                </c:pt>
                <c:pt idx="31">
                  <c:v>70.035705179572517</c:v>
                </c:pt>
                <c:pt idx="32">
                  <c:v>82.867363901598807</c:v>
                </c:pt>
                <c:pt idx="33">
                  <c:v>93.962758580194958</c:v>
                </c:pt>
                <c:pt idx="34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6-49A7-8997-D1799040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2'!$U$16:$U$46</c:f>
              <c:numCache>
                <c:formatCode>0.00</c:formatCode>
                <c:ptCount val="31"/>
                <c:pt idx="0">
                  <c:v>276.69365021230408</c:v>
                </c:pt>
                <c:pt idx="1">
                  <c:v>276.07946547764516</c:v>
                </c:pt>
                <c:pt idx="2">
                  <c:v>252.00418896998968</c:v>
                </c:pt>
                <c:pt idx="3">
                  <c:v>225.37158485137888</c:v>
                </c:pt>
                <c:pt idx="4">
                  <c:v>195.13736510064462</c:v>
                </c:pt>
                <c:pt idx="5">
                  <c:v>159.26340213125633</c:v>
                </c:pt>
                <c:pt idx="6">
                  <c:v>112.75446794175612</c:v>
                </c:pt>
                <c:pt idx="7">
                  <c:v>112.75001258716897</c:v>
                </c:pt>
                <c:pt idx="8">
                  <c:v>112.75573769396436</c:v>
                </c:pt>
                <c:pt idx="9">
                  <c:v>112.75858165745443</c:v>
                </c:pt>
                <c:pt idx="10">
                  <c:v>112.7505315374169</c:v>
                </c:pt>
                <c:pt idx="11">
                  <c:v>112.77169591679787</c:v>
                </c:pt>
                <c:pt idx="12">
                  <c:v>145.63433570060101</c:v>
                </c:pt>
                <c:pt idx="13">
                  <c:v>184.18223193806082</c:v>
                </c:pt>
                <c:pt idx="14">
                  <c:v>215.95561902487259</c:v>
                </c:pt>
                <c:pt idx="15">
                  <c:v>243.61971228770918</c:v>
                </c:pt>
                <c:pt idx="16">
                  <c:v>268.44794475256549</c:v>
                </c:pt>
                <c:pt idx="17">
                  <c:v>275.95652211518222</c:v>
                </c:pt>
                <c:pt idx="18">
                  <c:v>251.86954415168341</c:v>
                </c:pt>
                <c:pt idx="19">
                  <c:v>225.22107460103845</c:v>
                </c:pt>
                <c:pt idx="20">
                  <c:v>194.96358023414592</c:v>
                </c:pt>
                <c:pt idx="21">
                  <c:v>159.05050390044661</c:v>
                </c:pt>
                <c:pt idx="22">
                  <c:v>112.17543387148409</c:v>
                </c:pt>
                <c:pt idx="23">
                  <c:v>79.727348145938734</c:v>
                </c:pt>
                <c:pt idx="24">
                  <c:v>79.733046593071322</c:v>
                </c:pt>
                <c:pt idx="25">
                  <c:v>113.97620834107825</c:v>
                </c:pt>
                <c:pt idx="26">
                  <c:v>160.32571867236047</c:v>
                </c:pt>
                <c:pt idx="27">
                  <c:v>196.00534703882155</c:v>
                </c:pt>
                <c:pt idx="28">
                  <c:v>226.12354160460353</c:v>
                </c:pt>
                <c:pt idx="29">
                  <c:v>252.67690054258796</c:v>
                </c:pt>
                <c:pt idx="30">
                  <c:v>276.69365021230408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9-43C4-A7F8-C688F81E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83920"/>
        <c:axId val="1326548736"/>
      </c:lineChart>
      <c:catAx>
        <c:axId val="13207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48736"/>
        <c:crosses val="autoZero"/>
        <c:auto val="1"/>
        <c:lblAlgn val="ctr"/>
        <c:lblOffset val="100"/>
        <c:noMultiLvlLbl val="0"/>
      </c:catAx>
      <c:valAx>
        <c:axId val="1326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Model 2</c:v>
          </c:tx>
          <c:marker>
            <c:symbol val="none"/>
          </c:marker>
          <c:val>
            <c:numRef>
              <c:f>comparison!$D$4:$D$34</c:f>
              <c:numCache>
                <c:formatCode>General</c:formatCode>
                <c:ptCount val="31"/>
                <c:pt idx="0">
                  <c:v>108.69553132021045</c:v>
                </c:pt>
                <c:pt idx="1">
                  <c:v>108.45425676977791</c:v>
                </c:pt>
                <c:pt idx="2">
                  <c:v>98.996594948942146</c:v>
                </c:pt>
                <c:pt idx="3">
                  <c:v>88.534319963982995</c:v>
                </c:pt>
                <c:pt idx="4">
                  <c:v>76.657196736411635</c:v>
                </c:pt>
                <c:pt idx="5">
                  <c:v>62.564573134361886</c:v>
                </c:pt>
                <c:pt idx="6">
                  <c:v>44.294138272609402</c:v>
                </c:pt>
                <c:pt idx="7">
                  <c:v>44.292388044030979</c:v>
                </c:pt>
                <c:pt idx="8">
                  <c:v>44.294637078385449</c:v>
                </c:pt>
                <c:pt idx="9">
                  <c:v>44.295754292757266</c:v>
                </c:pt>
                <c:pt idx="10">
                  <c:v>44.292591906941766</c:v>
                </c:pt>
                <c:pt idx="11">
                  <c:v>44.300906060375034</c:v>
                </c:pt>
                <c:pt idx="12">
                  <c:v>57.210570193051716</c:v>
                </c:pt>
                <c:pt idx="13">
                  <c:v>72.353613987486838</c:v>
                </c:pt>
                <c:pt idx="14">
                  <c:v>84.835379248792208</c:v>
                </c:pt>
                <c:pt idx="15">
                  <c:v>95.702861438530448</c:v>
                </c:pt>
                <c:pt idx="16">
                  <c:v>105.45631229451706</c:v>
                </c:pt>
                <c:pt idx="17">
                  <c:v>108.40596005572269</c:v>
                </c:pt>
                <c:pt idx="18">
                  <c:v>98.943701468899931</c:v>
                </c:pt>
                <c:pt idx="19">
                  <c:v>88.475193953619765</c:v>
                </c:pt>
                <c:pt idx="20">
                  <c:v>76.588927593317834</c:v>
                </c:pt>
                <c:pt idx="21">
                  <c:v>62.480938810635109</c:v>
                </c:pt>
                <c:pt idx="22">
                  <c:v>44.066672207260844</c:v>
                </c:pt>
                <c:pt idx="23">
                  <c:v>31.319860288896663</c:v>
                </c:pt>
                <c:pt idx="24">
                  <c:v>31.322098850346492</c:v>
                </c:pt>
                <c:pt idx="25">
                  <c:v>44.774083228837313</c:v>
                </c:pt>
                <c:pt idx="26">
                  <c:v>62.981890484351538</c:v>
                </c:pt>
                <c:pt idx="27">
                  <c:v>76.998172244429611</c:v>
                </c:pt>
                <c:pt idx="28">
                  <c:v>88.829716474740877</c:v>
                </c:pt>
                <c:pt idx="29">
                  <c:v>99.26086101270154</c:v>
                </c:pt>
                <c:pt idx="30">
                  <c:v>108.69553132021045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2-4B4D-B757-FBFD5867DA96}"/>
            </c:ext>
          </c:extLst>
        </c:ser>
        <c:ser>
          <c:idx val="0"/>
          <c:order val="1"/>
          <c:tx>
            <c:v>Model 1</c:v>
          </c:tx>
          <c:marker>
            <c:symbol val="none"/>
          </c:marker>
          <c:val>
            <c:numRef>
              <c:f>comparison!$A$4:$A$34</c:f>
              <c:numCache>
                <c:formatCode>General</c:formatCode>
                <c:ptCount val="31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62.641839053463301</c:v>
                </c:pt>
                <c:pt idx="14">
                  <c:v>76.720271115266527</c:v>
                </c:pt>
                <c:pt idx="15">
                  <c:v>88.588938361400395</c:v>
                </c:pt>
                <c:pt idx="16">
                  <c:v>99.045444115315064</c:v>
                </c:pt>
                <c:pt idx="17">
                  <c:v>103.87973815908472</c:v>
                </c:pt>
                <c:pt idx="18">
                  <c:v>93.962758580194958</c:v>
                </c:pt>
                <c:pt idx="19">
                  <c:v>82.867363901598807</c:v>
                </c:pt>
                <c:pt idx="20">
                  <c:v>70.035705179572517</c:v>
                </c:pt>
                <c:pt idx="21">
                  <c:v>54.249423960075376</c:v>
                </c:pt>
                <c:pt idx="22">
                  <c:v>31.32091952673165</c:v>
                </c:pt>
                <c:pt idx="23">
                  <c:v>31.32091952673165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54.249423960075376</c:v>
                </c:pt>
                <c:pt idx="27">
                  <c:v>70.035705179572517</c:v>
                </c:pt>
                <c:pt idx="28">
                  <c:v>82.867363901598807</c:v>
                </c:pt>
                <c:pt idx="29">
                  <c:v>93.962758580194958</c:v>
                </c:pt>
                <c:pt idx="30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2-4B4D-B757-FBFD5867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388620</xdr:colOff>
      <xdr:row>18</xdr:row>
      <xdr:rowOff>83820</xdr:rowOff>
    </xdr:from>
    <xdr:to>
      <xdr:col>30</xdr:col>
      <xdr:colOff>147088</xdr:colOff>
      <xdr:row>42</xdr:row>
      <xdr:rowOff>53718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DCE0478-A082-4892-8336-F5DE9F32CD08}"/>
            </a:ext>
          </a:extLst>
        </xdr:cNvPr>
        <xdr:cNvGrpSpPr/>
      </xdr:nvGrpSpPr>
      <xdr:grpSpPr>
        <a:xfrm>
          <a:off x="13145396" y="3311114"/>
          <a:ext cx="9512068" cy="4272957"/>
          <a:chOff x="6454140" y="685800"/>
          <a:chExt cx="9512068" cy="4359018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6A5CE671-DFAC-4418-BEB8-95F88B126D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54140" y="685800"/>
            <a:ext cx="4077053" cy="4359018"/>
          </a:xfrm>
          <a:prstGeom prst="rect">
            <a:avLst/>
          </a:prstGeom>
        </xdr:spPr>
      </xdr:pic>
      <xdr:pic>
        <xdr:nvPicPr>
          <xdr:cNvPr id="3" name="Imagem 2">
            <a:extLst>
              <a:ext uri="{FF2B5EF4-FFF2-40B4-BE49-F238E27FC236}">
                <a16:creationId xmlns:a16="http://schemas.microsoft.com/office/drawing/2014/main" id="{A7266CFD-4FCA-4ABB-BC7D-70E62E052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539844" y="708660"/>
            <a:ext cx="5426364" cy="429768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396240</xdr:colOff>
      <xdr:row>43</xdr:row>
      <xdr:rowOff>102870</xdr:rowOff>
    </xdr:from>
    <xdr:to>
      <xdr:col>29</xdr:col>
      <xdr:colOff>83820</xdr:colOff>
      <xdr:row>62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3F8E91-7BD9-4824-A5A3-4EF6E714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215601</xdr:colOff>
      <xdr:row>0</xdr:row>
      <xdr:rowOff>152176</xdr:rowOff>
    </xdr:from>
    <xdr:to>
      <xdr:col>12</xdr:col>
      <xdr:colOff>154641</xdr:colOff>
      <xdr:row>15</xdr:row>
      <xdr:rowOff>152176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E3B4DB-4420-4335-9D01-228F6F41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112057</xdr:colOff>
      <xdr:row>0</xdr:row>
      <xdr:rowOff>62753</xdr:rowOff>
    </xdr:from>
    <xdr:to>
      <xdr:col>10</xdr:col>
      <xdr:colOff>421340</xdr:colOff>
      <xdr:row>12</xdr:row>
      <xdr:rowOff>170330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3D5AB-FC95-4CC2-B7BE-77D895CF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22860</xdr:rowOff>
    </xdr:from>
    <xdr:to>
      <xdr:col>16</xdr:col>
      <xdr:colOff>594360</xdr:colOff>
      <xdr:row>18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5599B-A95D-412E-83E5-807F6F3C1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guilherme bezerra alves" id="{E1CE1D74-DCCA-405C-81C2-8415A408143F}" userId="da537837e50ef7a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1928E5-553F-4D2B-A568-FADC98810044}" name="Tabela1" displayName="Tabela1" ref="A19:K54" totalsRowShown="0">
  <autoFilter ref="A19:K54" xr:uid="{ED49A909-FDE0-4D7F-AEF5-E9285BC69A64}"/>
  <tableColumns count="11">
    <tableColumn id="1" xr3:uid="{C9212170-4D19-472D-96D0-FD0E3D71BE2D}" name="Section"/>
    <tableColumn id="2" xr3:uid="{CF7C8415-80D0-48CC-ACFF-AC1A7AC6BD26}" name="L"/>
    <tableColumn id="3" xr3:uid="{7E0874DE-F5DB-427E-AB67-160BCD6EDFC4}" name="dx"/>
    <tableColumn id="4" xr3:uid="{A3B5C90D-9C8F-4C10-974D-44C7C33D4C47}" name="x" dataDxfId="23">
      <calculatedColumnFormula>D19+Tabela1[[#This Row],[dx]]</calculatedColumnFormula>
    </tableColumn>
    <tableColumn id="5" xr3:uid="{A2D2699D-F7CD-477F-999F-18DCB09A527E}" name="R"/>
    <tableColumn id="8" xr3:uid="{BD07EB3E-E543-4479-8B50-DAB7CE68BE15}" name="Acc turn 1" dataDxfId="22">
      <calculatedColumnFormula>SQRT($B$3*9.81*E20)</calculatedColumnFormula>
    </tableColumn>
    <tableColumn id="9" xr3:uid="{FAC9459E-A261-49B6-9715-0E4A46E4945E}" name="Acc turn 2" dataDxfId="21">
      <calculatedColumnFormula>SQRT($B$3*9.81*E20)</calculatedColumnFormula>
    </tableColumn>
    <tableColumn id="10" xr3:uid="{A4F4DE5F-844F-4CEF-AF3B-88B54602D046}" name="Decel turn 1" dataDxfId="20">
      <calculatedColumnFormula>SQRT($B$3*9.81*E20)</calculatedColumnFormula>
    </tableColumn>
    <tableColumn id="11" xr3:uid="{09ED5FAF-9092-4740-A058-1EBA8BC87C4D}" name="Decel turn 2" dataDxfId="19">
      <calculatedColumnFormula>SQRT($B$3*9.81*E20)</calculatedColumnFormula>
    </tableColumn>
    <tableColumn id="12" xr3:uid="{94773031-C176-4EF0-8130-5B9C23E911BE}" name="V final" dataDxfId="18">
      <calculatedColumnFormula>MIN(Tabela1[[#This Row],[Acc turn 1]:[Decel turn 2]])</calculatedColumnFormula>
    </tableColumn>
    <tableColumn id="13" xr3:uid="{3842E916-55F5-40EE-B8A5-50AC999D712D}" name="t(s)" dataDxfId="17">
      <calculatedColumnFormula>Tabela1[[#This Row],[dx]]/Tabela1[[#This Row],[V final]]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AAD629-5EAA-4937-B005-939120E30AFF}" name="Tabela134" displayName="Tabela134" ref="A15:U46" totalsRowShown="0">
  <autoFilter ref="A15:U46" xr:uid="{BF1CBCC3-0BA4-434A-806F-7EBD96E43C9E}"/>
  <tableColumns count="21">
    <tableColumn id="25" xr3:uid="{CB0D5FC5-3F84-40E7-99C5-7491D22B3DD8}" name="#" dataDxfId="16"/>
    <tableColumn id="6" xr3:uid="{DD58C406-1F8F-487A-891C-BD290C306017}" name="cx"/>
    <tableColumn id="7" xr3:uid="{95DE2925-36BE-46A8-9EC6-3263FBD31DBF}" name="cy"/>
    <tableColumn id="1" xr3:uid="{87913B40-2EA2-4AD4-83F1-5FC062A39B4C}" name="Section"/>
    <tableColumn id="24" xr3:uid="{66569903-F90B-42E2-960E-561735971446}" name="a" dataDxfId="15">
      <calculatedColumnFormula>SQRT((B17-B15)^2+(C17-C15)^2)</calculatedColumnFormula>
    </tableColumn>
    <tableColumn id="23" xr3:uid="{888BD87B-935D-47B4-A7E4-893AC42A8A6A}" name="b" dataDxfId="14">
      <calculatedColumnFormula>SQRT((B17-B16)^2+(C17-C16)^2)</calculatedColumnFormula>
    </tableColumn>
    <tableColumn id="22" xr3:uid="{E203FFDD-BD4C-42D9-A92D-449BF00AF756}" name="c" dataDxfId="13">
      <calculatedColumnFormula>SQRT((B16-B15)^2+(C16-C15)^2)</calculatedColumnFormula>
    </tableColumn>
    <tableColumn id="21" xr3:uid="{CC644A74-AD82-4BC3-B04B-34B3AA2F3987}" name="Cos A" dataDxfId="12">
      <calculatedColumnFormula>(F16^2+G16^2-E16^2)/(2*F16*G16)</calculatedColumnFormula>
    </tableColumn>
    <tableColumn id="26" xr3:uid="{6120D422-472A-493B-8E04-9DA3A1E3665E}" name="A rad" dataDxfId="11">
      <calculatedColumnFormula>ACOS(Tabela134[[#This Row],[Cos A]])</calculatedColumnFormula>
    </tableColumn>
    <tableColumn id="20" xr3:uid="{A3243012-CA91-440B-81CB-EE01E0CD7D23}" name="A deg" dataDxfId="10">
      <calculatedColumnFormula>Tabela134[[#This Row],[A rad]]*180/PI()</calculatedColumnFormula>
    </tableColumn>
    <tableColumn id="19" xr3:uid="{83961AA0-5D85-4988-9F1A-A0FEE699DEAC}" name="R" dataDxfId="9">
      <calculatedColumnFormula>E16/(2*SIN(PI()-Tabela134[[#This Row],[A rad]]))</calculatedColumnFormula>
    </tableColumn>
    <tableColumn id="3" xr3:uid="{265F097D-033D-408D-AC35-5299E35A6A8B}" name="dx" dataDxfId="8"/>
    <tableColumn id="4" xr3:uid="{1EC271E3-A5B6-47D4-90A9-B154CC178549}" name="x" dataDxfId="7">
      <calculatedColumnFormula>M15+Tabela134[[#This Row],[dx]]</calculatedColumnFormula>
    </tableColumn>
    <tableColumn id="5" xr3:uid="{3BA68EBA-4E94-47AE-9527-0D112C981557}" name="R2"/>
    <tableColumn id="8" xr3:uid="{6EE5483F-F67D-4673-B2AF-65EE897065EE}" name="Acc turn 1" dataDxfId="6"/>
    <tableColumn id="9" xr3:uid="{B4B17DDC-ACC3-4513-8B96-9A07C8F68CC8}" name="Acc turn 2" dataDxfId="5"/>
    <tableColumn id="10" xr3:uid="{2780464F-EB0B-415A-818B-38B742D32A67}" name="Decel turn 1" dataDxfId="4"/>
    <tableColumn id="11" xr3:uid="{778D66B2-647F-4C81-8EC4-40E7FA1EE5E4}" name="Decel turn 2" dataDxfId="3"/>
    <tableColumn id="12" xr3:uid="{8083B0D3-B1A6-4AC1-8754-A9FF34F0381E}" name="V final" dataDxfId="2">
      <calculatedColumnFormula>MIN(Tabela134[[#This Row],[Acc turn 1]:[Decel turn 2]])</calculatedColumnFormula>
    </tableColumn>
    <tableColumn id="13" xr3:uid="{C636CDE5-5C50-4BCD-B36B-2268D780BD0B}" name="t(s)" dataDxfId="1">
      <calculatedColumnFormula>Tabela134[[#This Row],[dx]]/Tabela134[[#This Row],[V final]]</calculatedColumnFormula>
    </tableColumn>
    <tableColumn id="2" xr3:uid="{617CBE36-AFD8-414A-B576-E1EA0F955FC3}" name="V final Km/h" dataDxfId="0">
      <calculatedColumnFormula>Tabela134[[#This Row],[V final]]*3.6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580A93-D1AA-49F1-BF84-45099146BCFD}" name="Tabela4" displayName="Tabela4" ref="A3:B34" totalsRowShown="0">
  <autoFilter ref="A3:B34" xr:uid="{75457ADB-CFF7-4F41-87C0-6AF30EB297F7}"/>
  <tableColumns count="2">
    <tableColumn id="1" xr3:uid="{F7273632-5AA0-4EF8-8934-D64E93998485}" name="V final"/>
    <tableColumn id="2" xr3:uid="{EBE1335D-A4C7-491E-8E63-7555A957AE74}" name="t(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0-10-09T00:56:35.37" personId="{E1CE1D74-DCCA-405C-81C2-8415A408143F}" id="{E2BDB34D-5EC4-4433-8270-6A7C3BB21518}">
    <text>distancia entre antes do ponto e depois do ponto</text>
  </threadedComment>
  <threadedComment ref="F15" dT="2020-10-09T00:57:00.11" personId="{E1CE1D74-DCCA-405C-81C2-8415A408143F}" id="{611232FB-E9F0-40E0-926D-08AB8BEB129D}">
    <text>distancia entre o ponto e depois do ponto</text>
  </threadedComment>
  <threadedComment ref="G15" dT="2020-10-09T00:57:09.89" personId="{E1CE1D74-DCCA-405C-81C2-8415A408143F}" id="{EAA903DF-B116-49F9-8258-C5566C91BDEA}">
    <text>distancia entre o ponto e antes do ponto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D8E6-B60F-4D8D-8DB6-9414DEF54A64}">
  <dimension ref="A1:K54"/>
  <sheetViews>
    <sheetView zoomScale="85" zoomScaleNormal="85" workbookViewId="0">
      <selection activeCell="H40" sqref="H40"/>
    </sheetView>
  </sheetViews>
  <sheetFormatPr defaultRowHeight="14.4" x14ac:dyDescent="0.3"/>
  <cols>
    <col min="1" max="1" width="13.6640625" bestFit="1" customWidth="1"/>
    <col min="6" max="7" width="17.5546875" customWidth="1"/>
    <col min="8" max="9" width="24.33203125" customWidth="1"/>
    <col min="10" max="11" width="13.21875" bestFit="1" customWidth="1"/>
  </cols>
  <sheetData>
    <row r="1" spans="1:3" x14ac:dyDescent="0.3">
      <c r="A1" t="s">
        <v>12</v>
      </c>
      <c r="B1" s="2">
        <f>SUM(Tabela1[t(s)])</f>
        <v>26.502071547917939</v>
      </c>
    </row>
    <row r="3" spans="1:3" x14ac:dyDescent="0.3">
      <c r="A3" t="s">
        <v>13</v>
      </c>
      <c r="B3">
        <v>2</v>
      </c>
    </row>
    <row r="6" spans="1:3" x14ac:dyDescent="0.3">
      <c r="A6" t="s">
        <v>15</v>
      </c>
      <c r="B6">
        <v>100</v>
      </c>
      <c r="C6">
        <v>50</v>
      </c>
    </row>
    <row r="7" spans="1:3" x14ac:dyDescent="0.3">
      <c r="A7" t="s">
        <v>14</v>
      </c>
      <c r="C7" s="2">
        <f>SQRT($B$3*9.81*C$6)</f>
        <v>31.32091952673165</v>
      </c>
    </row>
    <row r="19" spans="1:11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 t="s">
        <v>21</v>
      </c>
    </row>
    <row r="20" spans="1:11" x14ac:dyDescent="0.3">
      <c r="A20" t="s">
        <v>7</v>
      </c>
      <c r="B20">
        <v>250</v>
      </c>
      <c r="C20">
        <v>0</v>
      </c>
      <c r="D20">
        <v>0</v>
      </c>
      <c r="E20">
        <v>0</v>
      </c>
      <c r="F20" s="2">
        <f>SQRT(F54^2+2*$B$3*9.81*Tabela1[[#This Row],[dx]])</f>
        <v>192.77001841572772</v>
      </c>
      <c r="G20" s="2">
        <f>SQRT(G54^2+2*$B$3*9.81*Tabela1[[#This Row],[dx]])</f>
        <v>103.87973815908472</v>
      </c>
      <c r="H20" s="2">
        <f>SQRT(H21^2+2*$B$3*9.81*$C21)</f>
        <v>108.49884792015075</v>
      </c>
      <c r="I20" s="2">
        <f>SQRT(I21^2+2*$B$3*9.81*$C21)</f>
        <v>208.60767004115641</v>
      </c>
      <c r="J20" s="2">
        <f>MIN(Tabela1[[#This Row],[Acc turn 1]:[Decel turn 2]])</f>
        <v>103.87973815908472</v>
      </c>
      <c r="K20" s="2">
        <f>Tabela1[[#This Row],[dx]]/Tabela1[[#This Row],[V final]]</f>
        <v>0</v>
      </c>
    </row>
    <row r="21" spans="1:11" x14ac:dyDescent="0.3">
      <c r="A21" t="s">
        <v>7</v>
      </c>
      <c r="B21">
        <v>250</v>
      </c>
      <c r="C21">
        <v>50</v>
      </c>
      <c r="D21">
        <f>D20+Tabela1[[#This Row],[dx]]</f>
        <v>50</v>
      </c>
      <c r="E21">
        <v>0</v>
      </c>
      <c r="F21" s="2">
        <f>SQRT(F20^2+2*$B$3*9.81*Tabela1[[#This Row],[dx]])</f>
        <v>197.79352871112849</v>
      </c>
      <c r="G21" s="2">
        <f>SQRT(G20^2+2*$B$3*9.81*Tabela1[[#This Row],[dx]])</f>
        <v>112.92918134831228</v>
      </c>
      <c r="H21" s="2">
        <f>SQRT(H22^2+2*$B$3*9.81*C22)</f>
        <v>99.045444115315064</v>
      </c>
      <c r="I21" s="2">
        <f t="shared" ref="I21:I44" si="0">SQRT(I22^2+2*$B$3*9.81*C22)</f>
        <v>203.85082781288867</v>
      </c>
      <c r="J21" s="2">
        <f>MIN(Tabela1[[#This Row],[Acc turn 1]:[Decel turn 2]])</f>
        <v>99.045444115315064</v>
      </c>
      <c r="K21" s="2">
        <f>Tabela1[[#This Row],[dx]]/Tabela1[[#This Row],[V final]]</f>
        <v>0.50481877734615221</v>
      </c>
    </row>
    <row r="22" spans="1:11" x14ac:dyDescent="0.3">
      <c r="A22" t="s">
        <v>7</v>
      </c>
      <c r="B22">
        <v>250</v>
      </c>
      <c r="C22">
        <v>50</v>
      </c>
      <c r="D22">
        <f>D21+Tabela1[[#This Row],[dx]]</f>
        <v>100</v>
      </c>
      <c r="E22">
        <v>0</v>
      </c>
      <c r="F22" s="2">
        <f>SQRT(F21^2+2*$B$3*9.81*Tabela1[[#This Row],[dx]])</f>
        <v>202.69257509834938</v>
      </c>
      <c r="G22" s="2">
        <f>SQRT(G21^2+2*$B$3*9.81*Tabela1[[#This Row],[dx]])</f>
        <v>121.30539971493438</v>
      </c>
      <c r="H22" s="2">
        <f>SQRT(H23^2+2*$B$3*9.81*C23)</f>
        <v>88.588938361400395</v>
      </c>
      <c r="I22" s="2">
        <f t="shared" si="0"/>
        <v>198.98030053248988</v>
      </c>
      <c r="J22" s="2">
        <f>MIN(Tabela1[[#This Row],[Acc turn 1]:[Decel turn 2]])</f>
        <v>88.588938361400395</v>
      </c>
      <c r="K22" s="2">
        <f>Tabela1[[#This Row],[dx]]/Tabela1[[#This Row],[V final]]</f>
        <v>0.56440455123216371</v>
      </c>
    </row>
    <row r="23" spans="1:11" x14ac:dyDescent="0.3">
      <c r="A23" t="s">
        <v>7</v>
      </c>
      <c r="B23">
        <v>250</v>
      </c>
      <c r="C23">
        <v>50</v>
      </c>
      <c r="D23">
        <f>D22+Tabela1[[#This Row],[dx]]</f>
        <v>150</v>
      </c>
      <c r="E23">
        <v>0</v>
      </c>
      <c r="F23" s="2">
        <f>SQRT(F22^2+2*$B$3*9.81*Tabela1[[#This Row],[dx]])</f>
        <v>207.47597451271318</v>
      </c>
      <c r="G23" s="2">
        <f>SQRT(G22^2+2*$B$3*9.81*Tabela1[[#This Row],[dx]])</f>
        <v>129.1394595001853</v>
      </c>
      <c r="H23" s="2">
        <f>SQRT(H24^2+2*$B$3*9.81*C24)</f>
        <v>76.720271115266527</v>
      </c>
      <c r="I23" s="2">
        <f t="shared" si="0"/>
        <v>193.98752537212283</v>
      </c>
      <c r="J23" s="2">
        <f>MIN(Tabela1[[#This Row],[Acc turn 1]:[Decel turn 2]])</f>
        <v>76.720271115266527</v>
      </c>
      <c r="K23" s="2">
        <f>Tabela1[[#This Row],[dx]]/Tabela1[[#This Row],[V final]]</f>
        <v>0.6517182391714792</v>
      </c>
    </row>
    <row r="24" spans="1:11" x14ac:dyDescent="0.3">
      <c r="A24" t="s">
        <v>7</v>
      </c>
      <c r="B24">
        <v>250</v>
      </c>
      <c r="C24">
        <v>50</v>
      </c>
      <c r="D24">
        <f>D23+Tabela1[[#This Row],[dx]]</f>
        <v>200</v>
      </c>
      <c r="E24">
        <v>0</v>
      </c>
      <c r="F24" s="2">
        <f>SQRT(F23^2+2*$B$3*9.81*Tabela1[[#This Row],[dx]])</f>
        <v>212.15154960546482</v>
      </c>
      <c r="G24" s="2">
        <f>SQRT(G23^2+2*$B$3*9.81*Tabela1[[#This Row],[dx]])</f>
        <v>136.52472303579304</v>
      </c>
      <c r="H24" s="2">
        <f>SQRT(H25^2+2*$B$3*9.81*C25)</f>
        <v>62.641839053463301</v>
      </c>
      <c r="I24" s="2">
        <f t="shared" si="0"/>
        <v>188.8628073496738</v>
      </c>
      <c r="J24" s="2">
        <f>MIN(Tabela1[[#This Row],[Acc turn 1]:[Decel turn 2]])</f>
        <v>62.641839053463301</v>
      </c>
      <c r="K24" s="2">
        <f>Tabela1[[#This Row],[dx]]/Tabela1[[#This Row],[V final]]</f>
        <v>0.79818857101762619</v>
      </c>
    </row>
    <row r="25" spans="1:11" x14ac:dyDescent="0.3">
      <c r="A25" t="s">
        <v>7</v>
      </c>
      <c r="B25">
        <v>250</v>
      </c>
      <c r="C25">
        <v>50</v>
      </c>
      <c r="D25">
        <f>D24+Tabela1[[#This Row],[dx]]</f>
        <v>250</v>
      </c>
      <c r="E25">
        <v>0</v>
      </c>
      <c r="F25" s="2">
        <f>SQRT(F24^2+2*$B$3*9.81*Tabela1[[#This Row],[dx]])</f>
        <v>216.72627897880773</v>
      </c>
      <c r="G25" s="2">
        <f>SQRT(G24^2+2*$B$3*9.81*Tabela1[[#This Row],[dx]])</f>
        <v>143.53048456686824</v>
      </c>
      <c r="H25" s="2">
        <f>SQRT(H26^2+2*$B$3*9.81*C26)</f>
        <v>44.294469180700204</v>
      </c>
      <c r="I25" s="2">
        <f t="shared" si="0"/>
        <v>183.5950979737749</v>
      </c>
      <c r="J25" s="2">
        <f>MIN(Tabela1[[#This Row],[Acc turn 1]:[Decel turn 2]])</f>
        <v>44.294469180700204</v>
      </c>
      <c r="K25" s="2">
        <f>Tabela1[[#This Row],[dx]]/Tabela1[[#This Row],[V final]]</f>
        <v>1.1288091024643272</v>
      </c>
    </row>
    <row r="26" spans="1:11" x14ac:dyDescent="0.3">
      <c r="A26" t="s">
        <v>8</v>
      </c>
      <c r="B26">
        <v>334</v>
      </c>
      <c r="C26">
        <v>0</v>
      </c>
      <c r="D26">
        <f>D25+Tabela1[[#This Row],[dx]]</f>
        <v>250</v>
      </c>
      <c r="E26">
        <v>100</v>
      </c>
      <c r="F26" s="2">
        <f t="shared" ref="F26:F33" si="1">SQRT($B$3*9.81*E26)</f>
        <v>44.294469180700204</v>
      </c>
      <c r="G26" s="2">
        <f>SQRT(G25^2+2*$B$3*9.81*Tabela1[[#This Row],[dx]])</f>
        <v>143.53048456686824</v>
      </c>
      <c r="H26" s="2">
        <f t="shared" ref="H26:H33" si="2">SQRT($B$3*9.81*E26)</f>
        <v>44.294469180700204</v>
      </c>
      <c r="I26" s="2">
        <f t="shared" si="0"/>
        <v>183.5950979737749</v>
      </c>
      <c r="J26" s="2">
        <f>MIN(Tabela1[[#This Row],[Acc turn 1]:[Decel turn 2]])</f>
        <v>44.294469180700204</v>
      </c>
      <c r="K26" s="2">
        <f>Tabela1[[#This Row],[dx]]/Tabela1[[#This Row],[V final]]</f>
        <v>0</v>
      </c>
    </row>
    <row r="27" spans="1:11" x14ac:dyDescent="0.3">
      <c r="A27" t="s">
        <v>8</v>
      </c>
      <c r="B27">
        <v>334</v>
      </c>
      <c r="C27">
        <v>50</v>
      </c>
      <c r="D27" s="1">
        <f>D26+Tabela1[[#This Row],[dx]]</f>
        <v>300</v>
      </c>
      <c r="E27">
        <v>100</v>
      </c>
      <c r="F27" s="2">
        <f t="shared" si="1"/>
        <v>44.294469180700204</v>
      </c>
      <c r="G27" s="2">
        <f>SQRT(G26^2+2*$B$3*9.81*Tabela1[[#This Row],[dx]])</f>
        <v>150.20985320544057</v>
      </c>
      <c r="H27" s="2">
        <f t="shared" si="2"/>
        <v>44.294469180700204</v>
      </c>
      <c r="I27" s="2">
        <f t="shared" si="0"/>
        <v>178.171714926921</v>
      </c>
      <c r="J27" s="2">
        <f>MIN(Tabela1[[#This Row],[Acc turn 1]:[Decel turn 2]])</f>
        <v>44.294469180700204</v>
      </c>
      <c r="K27" s="2">
        <f>Tabela1[[#This Row],[dx]]/Tabela1[[#This Row],[V final]]</f>
        <v>1.1288091024643272</v>
      </c>
    </row>
    <row r="28" spans="1:11" x14ac:dyDescent="0.3">
      <c r="A28" t="s">
        <v>8</v>
      </c>
      <c r="B28">
        <v>334</v>
      </c>
      <c r="C28">
        <v>50</v>
      </c>
      <c r="D28" s="1">
        <f>D27+Tabela1[[#This Row],[dx]]</f>
        <v>350</v>
      </c>
      <c r="E28">
        <v>100</v>
      </c>
      <c r="F28" s="2">
        <f t="shared" si="1"/>
        <v>44.294469180700204</v>
      </c>
      <c r="G28" s="2">
        <f>SQRT(G27^2+2*$B$3*9.81*Tabela1[[#This Row],[dx]])</f>
        <v>156.60459763365827</v>
      </c>
      <c r="H28" s="2">
        <f t="shared" si="2"/>
        <v>44.294469180700204</v>
      </c>
      <c r="I28" s="2">
        <f t="shared" si="0"/>
        <v>172.57798237318687</v>
      </c>
      <c r="J28" s="2">
        <f>MIN(Tabela1[[#This Row],[Acc turn 1]:[Decel turn 2]])</f>
        <v>44.294469180700204</v>
      </c>
      <c r="K28" s="2">
        <f>Tabela1[[#This Row],[dx]]/Tabela1[[#This Row],[V final]]</f>
        <v>1.1288091024643272</v>
      </c>
    </row>
    <row r="29" spans="1:11" x14ac:dyDescent="0.3">
      <c r="A29" t="s">
        <v>8</v>
      </c>
      <c r="B29">
        <v>334</v>
      </c>
      <c r="C29">
        <v>50</v>
      </c>
      <c r="D29" s="1">
        <f>D28+Tabela1[[#This Row],[dx]]</f>
        <v>400</v>
      </c>
      <c r="E29">
        <v>100</v>
      </c>
      <c r="F29" s="2">
        <f t="shared" si="1"/>
        <v>44.294469180700204</v>
      </c>
      <c r="G29" s="2">
        <f>SQRT(G28^2+2*$B$3*9.81*Tabela1[[#This Row],[dx]])</f>
        <v>162.74827188022616</v>
      </c>
      <c r="H29" s="2">
        <f t="shared" si="2"/>
        <v>44.294469180700204</v>
      </c>
      <c r="I29" s="2">
        <f t="shared" si="0"/>
        <v>166.7967625585101</v>
      </c>
      <c r="J29" s="2">
        <f>MIN(Tabela1[[#This Row],[Acc turn 1]:[Decel turn 2]])</f>
        <v>44.294469180700204</v>
      </c>
      <c r="K29" s="2">
        <f>Tabela1[[#This Row],[dx]]/Tabela1[[#This Row],[V final]]</f>
        <v>1.1288091024643272</v>
      </c>
    </row>
    <row r="30" spans="1:11" x14ac:dyDescent="0.3">
      <c r="A30" t="s">
        <v>8</v>
      </c>
      <c r="B30">
        <v>334</v>
      </c>
      <c r="C30">
        <v>50</v>
      </c>
      <c r="D30" s="1">
        <f>D29+Tabela1[[#This Row],[dx]]</f>
        <v>450</v>
      </c>
      <c r="E30">
        <v>100</v>
      </c>
      <c r="F30" s="2">
        <f t="shared" si="1"/>
        <v>44.294469180700204</v>
      </c>
      <c r="G30" s="2">
        <f>SQRT(G29^2+2*$B$3*9.81*Tabela1[[#This Row],[dx]])</f>
        <v>168.6683135624472</v>
      </c>
      <c r="H30" s="2">
        <f t="shared" si="2"/>
        <v>44.294469180700204</v>
      </c>
      <c r="I30" s="2">
        <f t="shared" si="0"/>
        <v>160.80783562998414</v>
      </c>
      <c r="J30" s="2">
        <f>MIN(Tabela1[[#This Row],[Acc turn 1]:[Decel turn 2]])</f>
        <v>44.294469180700204</v>
      </c>
      <c r="K30" s="2">
        <f>Tabela1[[#This Row],[dx]]/Tabela1[[#This Row],[V final]]</f>
        <v>1.1288091024643272</v>
      </c>
    </row>
    <row r="31" spans="1:11" x14ac:dyDescent="0.3">
      <c r="A31" t="s">
        <v>8</v>
      </c>
      <c r="B31">
        <v>334</v>
      </c>
      <c r="C31">
        <v>50</v>
      </c>
      <c r="D31" s="1">
        <f>D30+Tabela1[[#This Row],[dx]]</f>
        <v>500</v>
      </c>
      <c r="E31">
        <v>100</v>
      </c>
      <c r="F31" s="2">
        <f t="shared" si="1"/>
        <v>44.294469180700204</v>
      </c>
      <c r="G31" s="2">
        <f>SQRT(G30^2+2*$B$3*9.81*Tabela1[[#This Row],[dx]])</f>
        <v>174.38749955200345</v>
      </c>
      <c r="H31" s="2">
        <f t="shared" si="2"/>
        <v>44.294469180700204</v>
      </c>
      <c r="I31" s="2">
        <f t="shared" si="0"/>
        <v>154.58706284809216</v>
      </c>
      <c r="J31" s="2">
        <f>MIN(Tabela1[[#This Row],[Acc turn 1]:[Decel turn 2]])</f>
        <v>44.294469180700204</v>
      </c>
      <c r="K31" s="2">
        <f>Tabela1[[#This Row],[dx]]/Tabela1[[#This Row],[V final]]</f>
        <v>1.1288091024643272</v>
      </c>
    </row>
    <row r="32" spans="1:11" x14ac:dyDescent="0.3">
      <c r="A32" t="s">
        <v>8</v>
      </c>
      <c r="B32">
        <v>334</v>
      </c>
      <c r="C32">
        <v>50</v>
      </c>
      <c r="D32" s="1">
        <f>D31+Tabela1[[#This Row],[dx]]</f>
        <v>550</v>
      </c>
      <c r="E32">
        <v>100</v>
      </c>
      <c r="F32" s="2">
        <f t="shared" si="1"/>
        <v>44.294469180700204</v>
      </c>
      <c r="G32" s="2">
        <f>SQRT(G31^2+2*$B$3*9.81*Tabela1[[#This Row],[dx]])</f>
        <v>179.92498436848621</v>
      </c>
      <c r="H32" s="2">
        <f t="shared" si="2"/>
        <v>44.294469180700204</v>
      </c>
      <c r="I32" s="2">
        <f t="shared" si="0"/>
        <v>148.10523285826196</v>
      </c>
      <c r="J32" s="2">
        <f>MIN(Tabela1[[#This Row],[Acc turn 1]:[Decel turn 2]])</f>
        <v>44.294469180700204</v>
      </c>
      <c r="K32" s="2">
        <f>Tabela1[[#This Row],[dx]]/Tabela1[[#This Row],[V final]]</f>
        <v>1.1288091024643272</v>
      </c>
    </row>
    <row r="33" spans="1:11" x14ac:dyDescent="0.3">
      <c r="A33" t="s">
        <v>8</v>
      </c>
      <c r="B33">
        <v>334</v>
      </c>
      <c r="C33">
        <v>34</v>
      </c>
      <c r="D33" s="1">
        <f>D32+Tabela1[[#This Row],[dx]]</f>
        <v>584</v>
      </c>
      <c r="E33">
        <v>100</v>
      </c>
      <c r="F33" s="2">
        <f t="shared" si="1"/>
        <v>44.294469180700204</v>
      </c>
      <c r="G33" s="2">
        <f>SQRT(G32^2+2*$B$3*9.81*Tabela1[[#This Row],[dx]])</f>
        <v>183.59509797377493</v>
      </c>
      <c r="H33" s="2">
        <f t="shared" si="2"/>
        <v>44.294469180700204</v>
      </c>
      <c r="I33" s="2">
        <f t="shared" si="0"/>
        <v>143.53048456686824</v>
      </c>
      <c r="J33" s="2">
        <f>MIN(Tabela1[[#This Row],[Acc turn 1]:[Decel turn 2]])</f>
        <v>44.294469180700204</v>
      </c>
      <c r="K33" s="2">
        <f>Tabela1[[#This Row],[dx]]/Tabela1[[#This Row],[V final]]</f>
        <v>0.76759018967574244</v>
      </c>
    </row>
    <row r="34" spans="1:11" x14ac:dyDescent="0.3">
      <c r="A34" t="s">
        <v>9</v>
      </c>
      <c r="B34">
        <v>500</v>
      </c>
      <c r="C34">
        <v>0</v>
      </c>
      <c r="D34" s="1">
        <f>D33+Tabela1[[#This Row],[dx]]</f>
        <v>584</v>
      </c>
      <c r="E34">
        <v>0</v>
      </c>
      <c r="F34" s="2">
        <f>SQRT(F33^2+2*$B$3*9.81*Tabela1[[#This Row],[dx]])</f>
        <v>44.294469180700204</v>
      </c>
      <c r="G34" s="2">
        <f>SQRT(G33^2+2*$B$3*9.81*Tabela1[[#This Row],[dx]])</f>
        <v>183.59509797377493</v>
      </c>
      <c r="H34" s="2">
        <f t="shared" ref="H34:H48" si="3">SQRT(H35^2+2*$B$3*9.81*C35)</f>
        <v>216.72627897880767</v>
      </c>
      <c r="I34" s="2">
        <f t="shared" si="0"/>
        <v>143.53048456686824</v>
      </c>
      <c r="J34" s="2">
        <f>MIN(Tabela1[[#This Row],[Acc turn 1]:[Decel turn 2]])</f>
        <v>44.294469180700204</v>
      </c>
      <c r="K34" s="2">
        <f>Tabela1[[#This Row],[dx]]/Tabela1[[#This Row],[V final]]</f>
        <v>0</v>
      </c>
    </row>
    <row r="35" spans="1:11" x14ac:dyDescent="0.3">
      <c r="A35" t="s">
        <v>9</v>
      </c>
      <c r="B35">
        <v>500</v>
      </c>
      <c r="C35">
        <v>50</v>
      </c>
      <c r="D35" s="1">
        <f>D34+Tabela1[[#This Row],[dx]]</f>
        <v>634</v>
      </c>
      <c r="E35">
        <v>0</v>
      </c>
      <c r="F35" s="2">
        <f>SQRT(F34^2+2*$B$3*9.81*Tabela1[[#This Row],[dx]])</f>
        <v>62.641839053463301</v>
      </c>
      <c r="G35" s="2">
        <f>SQRT(G34^2+2*$B$3*9.81*Tabela1[[#This Row],[dx]])</f>
        <v>188.86280734967383</v>
      </c>
      <c r="H35" s="2">
        <f t="shared" si="3"/>
        <v>212.15154960546477</v>
      </c>
      <c r="I35" s="2">
        <f t="shared" si="0"/>
        <v>136.52472303579304</v>
      </c>
      <c r="J35" s="2">
        <f>MIN(Tabela1[[#This Row],[Acc turn 1]:[Decel turn 2]])</f>
        <v>62.641839053463301</v>
      </c>
      <c r="K35" s="2">
        <f>Tabela1[[#This Row],[dx]]/Tabela1[[#This Row],[V final]]</f>
        <v>0.79818857101762619</v>
      </c>
    </row>
    <row r="36" spans="1:11" x14ac:dyDescent="0.3">
      <c r="A36" t="s">
        <v>9</v>
      </c>
      <c r="B36">
        <v>500</v>
      </c>
      <c r="C36">
        <v>50</v>
      </c>
      <c r="D36" s="1">
        <f>D35+Tabela1[[#This Row],[dx]]</f>
        <v>684</v>
      </c>
      <c r="E36">
        <v>0</v>
      </c>
      <c r="F36" s="2">
        <f>SQRT(F35^2+2*$B$3*9.81*Tabela1[[#This Row],[dx]])</f>
        <v>76.720271115266527</v>
      </c>
      <c r="G36" s="2">
        <f>SQRT(G35^2+2*$B$3*9.81*Tabela1[[#This Row],[dx]])</f>
        <v>193.98752537212286</v>
      </c>
      <c r="H36" s="2">
        <f t="shared" si="3"/>
        <v>207.47597451271309</v>
      </c>
      <c r="I36" s="2">
        <f t="shared" si="0"/>
        <v>129.1394595001853</v>
      </c>
      <c r="J36" s="2">
        <f>MIN(Tabela1[[#This Row],[Acc turn 1]:[Decel turn 2]])</f>
        <v>76.720271115266527</v>
      </c>
      <c r="K36" s="2">
        <f>Tabela1[[#This Row],[dx]]/Tabela1[[#This Row],[V final]]</f>
        <v>0.6517182391714792</v>
      </c>
    </row>
    <row r="37" spans="1:11" x14ac:dyDescent="0.3">
      <c r="A37" t="s">
        <v>9</v>
      </c>
      <c r="B37">
        <v>500</v>
      </c>
      <c r="C37">
        <v>50</v>
      </c>
      <c r="D37" s="1">
        <f>D36+Tabela1[[#This Row],[dx]]</f>
        <v>734</v>
      </c>
      <c r="E37">
        <v>0</v>
      </c>
      <c r="F37" s="2">
        <f>SQRT(F36^2+2*$B$3*9.81*Tabela1[[#This Row],[dx]])</f>
        <v>88.588938361400395</v>
      </c>
      <c r="G37" s="2">
        <f>SQRT(G36^2+2*$B$3*9.81*Tabela1[[#This Row],[dx]])</f>
        <v>198.98030053248993</v>
      </c>
      <c r="H37" s="2">
        <f t="shared" si="3"/>
        <v>202.69257509834932</v>
      </c>
      <c r="I37" s="2">
        <f t="shared" si="0"/>
        <v>121.30539971493438</v>
      </c>
      <c r="J37" s="2">
        <f>MIN(Tabela1[[#This Row],[Acc turn 1]:[Decel turn 2]])</f>
        <v>88.588938361400395</v>
      </c>
      <c r="K37" s="2">
        <f>Tabela1[[#This Row],[dx]]/Tabela1[[#This Row],[V final]]</f>
        <v>0.56440455123216371</v>
      </c>
    </row>
    <row r="38" spans="1:11" x14ac:dyDescent="0.3">
      <c r="A38" t="s">
        <v>9</v>
      </c>
      <c r="B38">
        <v>500</v>
      </c>
      <c r="C38">
        <v>50</v>
      </c>
      <c r="D38" s="1">
        <f>D37+Tabela1[[#This Row],[dx]]</f>
        <v>784</v>
      </c>
      <c r="E38">
        <v>0</v>
      </c>
      <c r="F38" s="2">
        <f>SQRT(F37^2+2*$B$3*9.81*Tabela1[[#This Row],[dx]])</f>
        <v>99.045444115315064</v>
      </c>
      <c r="G38" s="2">
        <f>SQRT(G37^2+2*$B$3*9.81*Tabela1[[#This Row],[dx]])</f>
        <v>203.85082781288872</v>
      </c>
      <c r="H38" s="2">
        <f t="shared" si="3"/>
        <v>197.79352871112843</v>
      </c>
      <c r="I38" s="2">
        <f t="shared" si="0"/>
        <v>112.92918134831228</v>
      </c>
      <c r="J38" s="2">
        <f>MIN(Tabela1[[#This Row],[Acc turn 1]:[Decel turn 2]])</f>
        <v>99.045444115315064</v>
      </c>
      <c r="K38" s="2">
        <f>Tabela1[[#This Row],[dx]]/Tabela1[[#This Row],[V final]]</f>
        <v>0.50481877734615221</v>
      </c>
    </row>
    <row r="39" spans="1:11" x14ac:dyDescent="0.3">
      <c r="A39" t="s">
        <v>9</v>
      </c>
      <c r="B39">
        <v>500</v>
      </c>
      <c r="C39">
        <v>50</v>
      </c>
      <c r="D39" s="1">
        <f>D38+Tabela1[[#This Row],[dx]]</f>
        <v>834</v>
      </c>
      <c r="E39">
        <v>0</v>
      </c>
      <c r="F39" s="2">
        <f>SQRT(F38^2+2*$B$3*9.81*Tabela1[[#This Row],[dx]])</f>
        <v>108.49884792015075</v>
      </c>
      <c r="G39" s="2">
        <f>SQRT(G38^2+2*$B$3*9.81*Tabela1[[#This Row],[dx]])</f>
        <v>208.60767004115644</v>
      </c>
      <c r="H39" s="2">
        <f t="shared" si="3"/>
        <v>192.77001841572769</v>
      </c>
      <c r="I39" s="2">
        <f t="shared" si="0"/>
        <v>103.87973815908472</v>
      </c>
      <c r="J39" s="2">
        <f>MIN(Tabela1[[#This Row],[Acc turn 1]:[Decel turn 2]])</f>
        <v>103.87973815908472</v>
      </c>
      <c r="K39" s="2">
        <f>Tabela1[[#This Row],[dx]]/Tabela1[[#This Row],[V final]]</f>
        <v>0.4813258185482564</v>
      </c>
    </row>
    <row r="40" spans="1:11" x14ac:dyDescent="0.3">
      <c r="A40" t="s">
        <v>9</v>
      </c>
      <c r="B40">
        <v>500</v>
      </c>
      <c r="C40">
        <v>50</v>
      </c>
      <c r="D40" s="1">
        <f>D39+Tabela1[[#This Row],[dx]]</f>
        <v>884</v>
      </c>
      <c r="E40">
        <v>0</v>
      </c>
      <c r="F40" s="2">
        <f>SQRT(F39^2+2*$B$3*9.81*Tabela1[[#This Row],[dx]])</f>
        <v>117.19214990774766</v>
      </c>
      <c r="G40" s="2">
        <f>SQRT(G39^2+2*$B$3*9.81*Tabela1[[#This Row],[dx]])</f>
        <v>213.25843476870966</v>
      </c>
      <c r="H40" s="2">
        <f t="shared" si="3"/>
        <v>187.61204652153867</v>
      </c>
      <c r="I40" s="2">
        <f t="shared" si="0"/>
        <v>93.962758580194958</v>
      </c>
      <c r="J40" s="2">
        <f>MIN(Tabela1[[#This Row],[Acc turn 1]:[Decel turn 2]])</f>
        <v>93.962758580194958</v>
      </c>
      <c r="K40" s="2">
        <f>Tabela1[[#This Row],[dx]]/Tabela1[[#This Row],[V final]]</f>
        <v>0.53212571401175068</v>
      </c>
    </row>
    <row r="41" spans="1:11" x14ac:dyDescent="0.3">
      <c r="A41" t="s">
        <v>9</v>
      </c>
      <c r="B41">
        <v>500</v>
      </c>
      <c r="C41">
        <v>50</v>
      </c>
      <c r="D41" s="1">
        <f>D40+Tabela1[[#This Row],[dx]]</f>
        <v>934</v>
      </c>
      <c r="E41">
        <v>0</v>
      </c>
      <c r="F41" s="2">
        <f>SQRT(F40^2+2*$B$3*9.81*Tabela1[[#This Row],[dx]])</f>
        <v>125.2836781069266</v>
      </c>
      <c r="G41" s="2">
        <f>SQRT(G40^2+2*$B$3*9.81*Tabela1[[#This Row],[dx]])</f>
        <v>217.80991712959261</v>
      </c>
      <c r="H41" s="2">
        <f t="shared" si="3"/>
        <v>182.30820058351733</v>
      </c>
      <c r="I41" s="2">
        <f t="shared" si="0"/>
        <v>82.867363901598807</v>
      </c>
      <c r="J41" s="2">
        <f>MIN(Tabela1[[#This Row],[Acc turn 1]:[Decel turn 2]])</f>
        <v>82.867363901598807</v>
      </c>
      <c r="K41" s="2">
        <f>Tabela1[[#This Row],[dx]]/Tabela1[[#This Row],[V final]]</f>
        <v>0.60337384521333037</v>
      </c>
    </row>
    <row r="42" spans="1:11" x14ac:dyDescent="0.3">
      <c r="A42" t="s">
        <v>9</v>
      </c>
      <c r="B42">
        <v>500</v>
      </c>
      <c r="C42">
        <v>50</v>
      </c>
      <c r="D42" s="1">
        <f>D41+Tabela1[[#This Row],[dx]]</f>
        <v>984</v>
      </c>
      <c r="E42">
        <v>0</v>
      </c>
      <c r="F42" s="2">
        <f>SQRT(F41^2+2*$B$3*9.81*Tabela1[[#This Row],[dx]])</f>
        <v>132.8834075421006</v>
      </c>
      <c r="G42" s="2">
        <f>SQRT(G41^2+2*$B$3*9.81*Tabela1[[#This Row],[dx]])</f>
        <v>222.26821635132629</v>
      </c>
      <c r="H42" s="2">
        <f t="shared" si="3"/>
        <v>176.84535617312656</v>
      </c>
      <c r="I42" s="2">
        <f t="shared" si="0"/>
        <v>70.035705179572517</v>
      </c>
      <c r="J42" s="2">
        <f>MIN(Tabela1[[#This Row],[Acc turn 1]:[Decel turn 2]])</f>
        <v>70.035705179572517</v>
      </c>
      <c r="K42" s="2">
        <f>Tabela1[[#This Row],[dx]]/Tabela1[[#This Row],[V final]]</f>
        <v>0.71392156146353214</v>
      </c>
    </row>
    <row r="43" spans="1:11" x14ac:dyDescent="0.3">
      <c r="A43" t="s">
        <v>9</v>
      </c>
      <c r="B43">
        <v>500</v>
      </c>
      <c r="C43">
        <v>50</v>
      </c>
      <c r="D43" s="1">
        <f>D42+Tabela1[[#This Row],[dx]]</f>
        <v>1034</v>
      </c>
      <c r="E43">
        <v>0</v>
      </c>
      <c r="F43" s="2">
        <f>SQRT(F42^2+2*$B$3*9.81*Tabela1[[#This Row],[dx]])</f>
        <v>140.07141035914503</v>
      </c>
      <c r="G43" s="2">
        <f>SQRT(G42^2+2*$B$3*9.81*Tabela1[[#This Row],[dx]])</f>
        <v>226.63883162423863</v>
      </c>
      <c r="H43" s="2">
        <f t="shared" si="3"/>
        <v>171.20829419160742</v>
      </c>
      <c r="I43" s="2">
        <f t="shared" si="0"/>
        <v>54.249423960075376</v>
      </c>
      <c r="J43" s="2">
        <f>MIN(Tabela1[[#This Row],[Acc turn 1]:[Decel turn 2]])</f>
        <v>54.249423960075376</v>
      </c>
      <c r="K43" s="2">
        <f>Tabela1[[#This Row],[dx]]/Tabela1[[#This Row],[V final]]</f>
        <v>0.92166877268221836</v>
      </c>
    </row>
    <row r="44" spans="1:11" x14ac:dyDescent="0.3">
      <c r="A44" t="s">
        <v>9</v>
      </c>
      <c r="B44">
        <v>500</v>
      </c>
      <c r="C44">
        <v>50</v>
      </c>
      <c r="D44" s="1">
        <f>D43+Tabela1[[#This Row],[dx]]</f>
        <v>1084</v>
      </c>
      <c r="E44">
        <v>0</v>
      </c>
      <c r="F44" s="2">
        <f>SQRT(F43^2+2*$B$3*9.81*Tabela1[[#This Row],[dx]])</f>
        <v>146.90813456034354</v>
      </c>
      <c r="G44" s="2">
        <f>SQRT(G43^2+2*$B$3*9.81*Tabela1[[#This Row],[dx]])</f>
        <v>230.9267416303274</v>
      </c>
      <c r="H44" s="2">
        <f t="shared" si="3"/>
        <v>165.37920062692282</v>
      </c>
      <c r="I44" s="2">
        <f t="shared" si="0"/>
        <v>31.32091952673165</v>
      </c>
      <c r="J44" s="2">
        <f>MIN(Tabela1[[#This Row],[Acc turn 1]:[Decel turn 2]])</f>
        <v>31.32091952673165</v>
      </c>
      <c r="K44" s="2">
        <f>Tabela1[[#This Row],[dx]]/Tabela1[[#This Row],[V final]]</f>
        <v>1.5963771420352524</v>
      </c>
    </row>
    <row r="45" spans="1:11" x14ac:dyDescent="0.3">
      <c r="A45" t="s">
        <v>10</v>
      </c>
      <c r="B45">
        <v>147</v>
      </c>
      <c r="C45">
        <v>0</v>
      </c>
      <c r="D45" s="1">
        <f>D44+Tabela1[[#This Row],[dx]]</f>
        <v>1084</v>
      </c>
      <c r="E45">
        <v>50</v>
      </c>
      <c r="F45" s="2">
        <f>SQRT(F44^2+2*$B$3*9.81*Tabela1[[#This Row],[dx]])</f>
        <v>146.90813456034354</v>
      </c>
      <c r="G45" s="2">
        <f>SQRT($B$3*9.81*E45)</f>
        <v>31.32091952673165</v>
      </c>
      <c r="H45" s="2">
        <f t="shared" si="3"/>
        <v>165.37920062692282</v>
      </c>
      <c r="I45" s="2">
        <f>SQRT($B$3*9.81*E45)</f>
        <v>31.32091952673165</v>
      </c>
      <c r="J45" s="2">
        <f>MIN(Tabela1[[#This Row],[Acc turn 1]:[Decel turn 2]])</f>
        <v>31.32091952673165</v>
      </c>
      <c r="K45" s="2">
        <f>Tabela1[[#This Row],[dx]]/Tabela1[[#This Row],[V final]]</f>
        <v>0</v>
      </c>
    </row>
    <row r="46" spans="1:11" x14ac:dyDescent="0.3">
      <c r="A46" t="s">
        <v>10</v>
      </c>
      <c r="B46">
        <v>147</v>
      </c>
      <c r="C46">
        <v>50</v>
      </c>
      <c r="D46" s="1">
        <f>D45+Tabela1[[#This Row],[dx]]</f>
        <v>1134</v>
      </c>
      <c r="E46">
        <v>50</v>
      </c>
      <c r="F46" s="2">
        <f>SQRT(F45^2+2*$B$3*9.81*Tabela1[[#This Row],[dx]])</f>
        <v>153.44054223053308</v>
      </c>
      <c r="G46" s="2">
        <f>SQRT($B$3*9.81*E46)</f>
        <v>31.32091952673165</v>
      </c>
      <c r="H46" s="2">
        <f t="shared" si="3"/>
        <v>159.33700135247932</v>
      </c>
      <c r="I46" s="2">
        <f>SQRT($B$3*9.81*E46)</f>
        <v>31.32091952673165</v>
      </c>
      <c r="J46" s="2">
        <f>MIN(Tabela1[[#This Row],[Acc turn 1]:[Decel turn 2]])</f>
        <v>31.32091952673165</v>
      </c>
      <c r="K46" s="2">
        <f>Tabela1[[#This Row],[dx]]/Tabela1[[#This Row],[V final]]</f>
        <v>1.5963771420352524</v>
      </c>
    </row>
    <row r="47" spans="1:11" x14ac:dyDescent="0.3">
      <c r="A47" t="s">
        <v>10</v>
      </c>
      <c r="B47">
        <v>147</v>
      </c>
      <c r="C47">
        <v>50</v>
      </c>
      <c r="D47" s="1">
        <f>D46+Tabela1[[#This Row],[dx]]</f>
        <v>1184</v>
      </c>
      <c r="E47">
        <v>50</v>
      </c>
      <c r="F47" s="2">
        <f>SQRT(F46^2+2*$B$3*9.81*Tabela1[[#This Row],[dx]])</f>
        <v>159.70597985047399</v>
      </c>
      <c r="G47" s="2">
        <f>SQRT($B$3*9.81*E47)</f>
        <v>31.32091952673165</v>
      </c>
      <c r="H47" s="2">
        <f t="shared" si="3"/>
        <v>153.05646017074875</v>
      </c>
      <c r="I47" s="2">
        <f>SQRT($B$3*9.81*E47)</f>
        <v>31.32091952673165</v>
      </c>
      <c r="J47" s="2">
        <f>MIN(Tabela1[[#This Row],[Acc turn 1]:[Decel turn 2]])</f>
        <v>31.32091952673165</v>
      </c>
      <c r="K47" s="2">
        <f>Tabela1[[#This Row],[dx]]/Tabela1[[#This Row],[V final]]</f>
        <v>1.5963771420352524</v>
      </c>
    </row>
    <row r="48" spans="1:11" x14ac:dyDescent="0.3">
      <c r="A48" t="s">
        <v>10</v>
      </c>
      <c r="B48">
        <v>147</v>
      </c>
      <c r="C48">
        <v>47</v>
      </c>
      <c r="D48" s="1">
        <f>D47+Tabela1[[#This Row],[dx]]</f>
        <v>1231</v>
      </c>
      <c r="E48">
        <v>50</v>
      </c>
      <c r="F48" s="2">
        <f>SQRT(F47^2+2*$B$3*9.81*Tabela1[[#This Row],[dx]])</f>
        <v>165.37920062692288</v>
      </c>
      <c r="G48" s="2">
        <f>SQRT($B$3*9.81*E48)</f>
        <v>31.32091952673165</v>
      </c>
      <c r="H48" s="2">
        <f t="shared" si="3"/>
        <v>146.90813456034354</v>
      </c>
      <c r="I48" s="2">
        <f>SQRT($B$3*9.81*E48)</f>
        <v>31.32091952673165</v>
      </c>
      <c r="J48" s="2">
        <f>MIN(Tabela1[[#This Row],[Acc turn 1]:[Decel turn 2]])</f>
        <v>31.32091952673165</v>
      </c>
      <c r="K48" s="2">
        <f>Tabela1[[#This Row],[dx]]/Tabela1[[#This Row],[V final]]</f>
        <v>1.5005945135131371</v>
      </c>
    </row>
    <row r="49" spans="1:11" x14ac:dyDescent="0.3">
      <c r="A49" t="s">
        <v>11</v>
      </c>
      <c r="B49">
        <v>250</v>
      </c>
      <c r="C49">
        <v>0</v>
      </c>
      <c r="D49" s="1">
        <f>D48+Tabela1[[#This Row],[dx]]</f>
        <v>1231</v>
      </c>
      <c r="E49">
        <v>0</v>
      </c>
      <c r="F49" s="2">
        <f>SQRT(F48^2+2*$B$3*9.81*Tabela1[[#This Row],[dx]])</f>
        <v>165.37920062692288</v>
      </c>
      <c r="G49" s="2">
        <f>SQRT(G48^2+2*$B$3*9.81*Tabela1[[#This Row],[dx]])</f>
        <v>31.32091952673165</v>
      </c>
      <c r="H49" s="2">
        <f>SQRT(H50^2+2*$B$3*9.81*$C50)</f>
        <v>146.90813456034354</v>
      </c>
      <c r="I49" s="2">
        <f>SQRT(I50^2+2*$B$3*9.81*$C50)</f>
        <v>230.9267416303274</v>
      </c>
      <c r="J49" s="2">
        <f>MIN(Tabela1[[#This Row],[Acc turn 1]:[Decel turn 2]])</f>
        <v>31.32091952673165</v>
      </c>
      <c r="K49" s="2">
        <f>Tabela1[[#This Row],[dx]]/Tabela1[[#This Row],[V final]]</f>
        <v>0</v>
      </c>
    </row>
    <row r="50" spans="1:11" x14ac:dyDescent="0.3">
      <c r="A50" t="s">
        <v>11</v>
      </c>
      <c r="B50">
        <v>250</v>
      </c>
      <c r="C50">
        <v>50</v>
      </c>
      <c r="D50" s="1">
        <f>D49+Tabela1[[#This Row],[dx]]</f>
        <v>1281</v>
      </c>
      <c r="E50">
        <v>0</v>
      </c>
      <c r="F50" s="2">
        <f>SQRT(F49^2+2*$B$3*9.81*Tabela1[[#This Row],[dx]])</f>
        <v>171.20829419160745</v>
      </c>
      <c r="G50" s="2">
        <f>SQRT(G49^2+2*$B$3*9.81*Tabela1[[#This Row],[dx]])</f>
        <v>54.249423960075376</v>
      </c>
      <c r="H50" s="2">
        <f t="shared" ref="H50:I53" si="4">SQRT(H51^2+2*$B$3*9.81*$C51)</f>
        <v>140.07141035914503</v>
      </c>
      <c r="I50" s="2">
        <f t="shared" si="4"/>
        <v>226.63883162423863</v>
      </c>
      <c r="J50" s="2">
        <f>MIN(Tabela1[[#This Row],[Acc turn 1]:[Decel turn 2]])</f>
        <v>54.249423960075376</v>
      </c>
      <c r="K50" s="2">
        <f>Tabela1[[#This Row],[dx]]/Tabela1[[#This Row],[V final]]</f>
        <v>0.92166877268221836</v>
      </c>
    </row>
    <row r="51" spans="1:11" x14ac:dyDescent="0.3">
      <c r="A51" t="s">
        <v>11</v>
      </c>
      <c r="B51">
        <v>250</v>
      </c>
      <c r="C51">
        <v>50</v>
      </c>
      <c r="D51" s="1">
        <f>D50+Tabela1[[#This Row],[dx]]</f>
        <v>1331</v>
      </c>
      <c r="E51">
        <v>0</v>
      </c>
      <c r="F51" s="2">
        <f>SQRT(F50^2+2*$B$3*9.81*Tabela1[[#This Row],[dx]])</f>
        <v>176.84535617312659</v>
      </c>
      <c r="G51" s="2">
        <f>SQRT(G50^2+2*$B$3*9.81*Tabela1[[#This Row],[dx]])</f>
        <v>70.035705179572517</v>
      </c>
      <c r="H51" s="2">
        <f t="shared" si="4"/>
        <v>132.8834075421006</v>
      </c>
      <c r="I51" s="2">
        <f t="shared" si="4"/>
        <v>222.26821635132629</v>
      </c>
      <c r="J51" s="2">
        <f>MIN(Tabela1[[#This Row],[Acc turn 1]:[Decel turn 2]])</f>
        <v>70.035705179572517</v>
      </c>
      <c r="K51" s="2">
        <f>Tabela1[[#This Row],[dx]]/Tabela1[[#This Row],[V final]]</f>
        <v>0.71392156146353214</v>
      </c>
    </row>
    <row r="52" spans="1:11" x14ac:dyDescent="0.3">
      <c r="A52" t="s">
        <v>11</v>
      </c>
      <c r="B52">
        <v>250</v>
      </c>
      <c r="C52">
        <v>50</v>
      </c>
      <c r="D52" s="1">
        <f>D51+Tabela1[[#This Row],[dx]]</f>
        <v>1381</v>
      </c>
      <c r="E52">
        <v>0</v>
      </c>
      <c r="F52" s="2">
        <f>SQRT(F51^2+2*$B$3*9.81*Tabela1[[#This Row],[dx]])</f>
        <v>182.30820058351736</v>
      </c>
      <c r="G52" s="2">
        <f>SQRT(G51^2+2*$B$3*9.81*Tabela1[[#This Row],[dx]])</f>
        <v>82.867363901598807</v>
      </c>
      <c r="H52" s="2">
        <f t="shared" si="4"/>
        <v>125.2836781069266</v>
      </c>
      <c r="I52" s="2">
        <f t="shared" si="4"/>
        <v>217.80991712959261</v>
      </c>
      <c r="J52" s="2">
        <f>MIN(Tabela1[[#This Row],[Acc turn 1]:[Decel turn 2]])</f>
        <v>82.867363901598807</v>
      </c>
      <c r="K52" s="2">
        <f>Tabela1[[#This Row],[dx]]/Tabela1[[#This Row],[V final]]</f>
        <v>0.60337384521333037</v>
      </c>
    </row>
    <row r="53" spans="1:11" x14ac:dyDescent="0.3">
      <c r="A53" t="s">
        <v>11</v>
      </c>
      <c r="B53">
        <v>250</v>
      </c>
      <c r="C53">
        <v>50</v>
      </c>
      <c r="D53" s="1">
        <f>D52+Tabela1[[#This Row],[dx]]</f>
        <v>1431</v>
      </c>
      <c r="E53">
        <v>0</v>
      </c>
      <c r="F53" s="2">
        <f>SQRT(F52^2+2*$B$3*9.81*Tabela1[[#This Row],[dx]])</f>
        <v>187.6120465215387</v>
      </c>
      <c r="G53" s="2">
        <f>SQRT(G52^2+2*$B$3*9.81*Tabela1[[#This Row],[dx]])</f>
        <v>93.962758580194958</v>
      </c>
      <c r="H53" s="2">
        <f t="shared" si="4"/>
        <v>117.19214990774766</v>
      </c>
      <c r="I53" s="2">
        <f t="shared" si="4"/>
        <v>213.25843476870966</v>
      </c>
      <c r="J53" s="2">
        <f>MIN(Tabela1[[#This Row],[Acc turn 1]:[Decel turn 2]])</f>
        <v>93.962758580194958</v>
      </c>
      <c r="K53" s="2">
        <f>Tabela1[[#This Row],[dx]]/Tabela1[[#This Row],[V final]]</f>
        <v>0.53212571401175068</v>
      </c>
    </row>
    <row r="54" spans="1:11" x14ac:dyDescent="0.3">
      <c r="A54" t="s">
        <v>11</v>
      </c>
      <c r="B54">
        <v>250</v>
      </c>
      <c r="C54">
        <v>50</v>
      </c>
      <c r="D54" s="1">
        <f>D53+Tabela1[[#This Row],[dx]]</f>
        <v>1481</v>
      </c>
      <c r="E54">
        <v>0</v>
      </c>
      <c r="F54" s="2">
        <f>SQRT(F53^2+2*$B$3*9.81*Tabela1[[#This Row],[dx]])</f>
        <v>192.77001841572772</v>
      </c>
      <c r="G54" s="2">
        <f>SQRT(G53^2+2*$B$3*9.81*Tabela1[[#This Row],[dx]])</f>
        <v>103.87973815908472</v>
      </c>
      <c r="H54" s="2">
        <f>SQRT(H20^2+2*$B$3*9.81*$C20)</f>
        <v>108.49884792015075</v>
      </c>
      <c r="I54" s="2">
        <f>SQRT(I20^2+2*$B$3*9.81*$C20)</f>
        <v>208.60767004115641</v>
      </c>
      <c r="J54" s="2">
        <f>MIN(Tabela1[[#This Row],[Acc turn 1]:[Decel turn 2]])</f>
        <v>103.87973815908472</v>
      </c>
      <c r="K54" s="2">
        <f>Tabela1[[#This Row],[dx]]/Tabela1[[#This Row],[V final]]</f>
        <v>0.4813258185482564</v>
      </c>
    </row>
  </sheetData>
  <pageMargins left="0.511811024" right="0.511811024" top="0.78740157499999996" bottom="0.78740157499999996" header="0.31496062000000002" footer="0.31496062000000002"/>
  <ignoredErrors>
    <ignoredError sqref="G20:I20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6089-2421-49A1-A1FA-06E7DD5C5799}">
  <dimension ref="A1:U46"/>
  <sheetViews>
    <sheetView tabSelected="1" topLeftCell="A6" zoomScale="85" zoomScaleNormal="85" workbookViewId="0">
      <selection activeCell="P28" sqref="P28"/>
    </sheetView>
  </sheetViews>
  <sheetFormatPr defaultRowHeight="14.4" x14ac:dyDescent="0.3"/>
  <cols>
    <col min="1" max="1" width="14.44140625" customWidth="1"/>
    <col min="9" max="9" width="9.88671875" bestFit="1" customWidth="1"/>
    <col min="12" max="12" width="12.44140625" bestFit="1" customWidth="1"/>
  </cols>
  <sheetData>
    <row r="1" spans="1:21" x14ac:dyDescent="0.3">
      <c r="A1" t="s">
        <v>12</v>
      </c>
      <c r="B1" s="2">
        <f>SUM(Tabela134[t(s)])</f>
        <v>33.547365340936359</v>
      </c>
    </row>
    <row r="3" spans="1:21" x14ac:dyDescent="0.3">
      <c r="A3" t="s">
        <v>13</v>
      </c>
      <c r="B3">
        <v>1</v>
      </c>
    </row>
    <row r="6" spans="1:21" x14ac:dyDescent="0.3">
      <c r="A6" t="s">
        <v>15</v>
      </c>
      <c r="B6">
        <v>100</v>
      </c>
      <c r="C6">
        <v>50</v>
      </c>
    </row>
    <row r="7" spans="1:21" x14ac:dyDescent="0.3">
      <c r="A7" t="s">
        <v>14</v>
      </c>
      <c r="C7" s="2">
        <f>SQRT($B$3*9.81*C$6)</f>
        <v>22.147234590350102</v>
      </c>
    </row>
    <row r="11" spans="1:21" x14ac:dyDescent="0.3">
      <c r="I11">
        <f>180/30</f>
        <v>6</v>
      </c>
    </row>
    <row r="15" spans="1:21" x14ac:dyDescent="0.3">
      <c r="A15" t="s">
        <v>25</v>
      </c>
      <c r="B15" t="s">
        <v>5</v>
      </c>
      <c r="C15" t="s">
        <v>6</v>
      </c>
      <c r="D15" t="s">
        <v>0</v>
      </c>
      <c r="E15" t="s">
        <v>22</v>
      </c>
      <c r="F15" t="s">
        <v>23</v>
      </c>
      <c r="G15" t="s">
        <v>24</v>
      </c>
      <c r="H15" t="s">
        <v>26</v>
      </c>
      <c r="I15" t="s">
        <v>27</v>
      </c>
      <c r="J15" t="s">
        <v>28</v>
      </c>
      <c r="K15" t="s">
        <v>4</v>
      </c>
      <c r="L15" t="s">
        <v>2</v>
      </c>
      <c r="M15" t="s">
        <v>3</v>
      </c>
      <c r="N15" t="s">
        <v>29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30</v>
      </c>
    </row>
    <row r="16" spans="1:21" x14ac:dyDescent="0.3">
      <c r="A16" s="3">
        <v>1</v>
      </c>
      <c r="B16">
        <v>0</v>
      </c>
      <c r="C16">
        <v>0</v>
      </c>
      <c r="D16" t="s">
        <v>7</v>
      </c>
      <c r="E16">
        <f>SQRT((B17-B46)^2+(C17-C46)^2)</f>
        <v>50</v>
      </c>
      <c r="F16">
        <f t="shared" ref="F16:F46" si="0">SQRT((B17-B16)^2+(C17-C16)^2)</f>
        <v>50</v>
      </c>
      <c r="G16">
        <f>SQRT((B16-B46)^2+(C16-C46)^2)</f>
        <v>0</v>
      </c>
      <c r="H16" t="e">
        <f t="shared" ref="H16:H46" si="1">(F16^2+G16^2-E16^2)/(2*F16*G16)</f>
        <v>#DIV/0!</v>
      </c>
      <c r="I16" t="e">
        <f>ACOS(Tabela134[[#This Row],[Cos A]])</f>
        <v>#DIV/0!</v>
      </c>
      <c r="J16" t="e">
        <f>Tabela134[[#This Row],[A rad]]*180/PI()</f>
        <v>#DIV/0!</v>
      </c>
      <c r="K16" t="e">
        <f>E16/(2*SIN(PI()-Tabela134[[#This Row],[A rad]]))</f>
        <v>#DIV/0!</v>
      </c>
      <c r="L16" s="2">
        <v>0</v>
      </c>
      <c r="M16">
        <v>0</v>
      </c>
      <c r="N16">
        <v>0</v>
      </c>
      <c r="O16" s="2">
        <f>SQRT(O46^2+2*9.81*$B$3*SQRT(($B16-$B46)^2+($C16-$C46)^2))</f>
        <v>138.28710828801579</v>
      </c>
      <c r="P16" s="2">
        <f>SQRT(P46^2+2*9.81*$B$3*SQRT(($B16-$B46)^2+($C16-$C46)^2))</f>
        <v>76.859347281195582</v>
      </c>
      <c r="Q16" s="2">
        <f>SQRT(Q17^2+2*9.81*$B$3*SQRT(($B17-$B16)^2+($C17-$C16)^2))</f>
        <v>82.838172998578727</v>
      </c>
      <c r="R16" s="2">
        <f>SQRT(R17^2+2*9.81*$B$3*SQRT(($B17-$B16)^2+($C17-$C16)^2))</f>
        <v>148.9169564712042</v>
      </c>
      <c r="S16" s="2">
        <f>MIN(Tabela134[[#This Row],[Acc turn 1]:[Decel turn 2]])</f>
        <v>76.859347281195582</v>
      </c>
      <c r="T16" s="2">
        <f>Tabela134[[#This Row],[dx]]/Tabela134[[#This Row],[V final]]</f>
        <v>0</v>
      </c>
      <c r="U16" s="2">
        <f>Tabela134[[#This Row],[V final]]*3.6</f>
        <v>276.69365021230408</v>
      </c>
    </row>
    <row r="17" spans="1:21" x14ac:dyDescent="0.3">
      <c r="A17" s="3">
        <v>2</v>
      </c>
      <c r="B17">
        <v>50</v>
      </c>
      <c r="C17">
        <v>0</v>
      </c>
      <c r="D17" t="s">
        <v>7</v>
      </c>
      <c r="E17">
        <f t="shared" ref="E16:E46" si="2">SQRT((B18-B16)^2+(C18-C16)^2)</f>
        <v>100</v>
      </c>
      <c r="F17">
        <f t="shared" si="0"/>
        <v>50</v>
      </c>
      <c r="G17">
        <f t="shared" ref="G16:G46" si="3">SQRT((B17-B16)^2+(C17-C16)^2)</f>
        <v>50</v>
      </c>
      <c r="H17">
        <f t="shared" si="1"/>
        <v>-1</v>
      </c>
      <c r="I17">
        <f>ACOS(Tabela134[[#This Row],[Cos A]])</f>
        <v>3.1415926535897931</v>
      </c>
      <c r="J17">
        <f>Tabela134[[#This Row],[A rad]]*180/PI()</f>
        <v>180</v>
      </c>
      <c r="K17" t="e">
        <f>E17/(2*SIN(PI()-Tabela134[[#This Row],[A rad]]))</f>
        <v>#DIV/0!</v>
      </c>
      <c r="L17" s="2">
        <f>SQRT((B17-B16)^2+(C17-C16)^2)</f>
        <v>50</v>
      </c>
      <c r="M17">
        <f>M16+Tabela134[[#This Row],[dx]]</f>
        <v>50</v>
      </c>
      <c r="N17">
        <v>0</v>
      </c>
      <c r="O17" s="2">
        <f>SQRT(O16^2+2*9.81*$B$3*SQRT(($B17-$B16)^2+($C17-$C16)^2))</f>
        <v>141.7897186634539</v>
      </c>
      <c r="P17" s="2">
        <f>SQRT(P16^2+2*9.81*$B$3*SQRT(($B17-$B16)^2+($C17-$C16)^2))</f>
        <v>82.996140057784771</v>
      </c>
      <c r="Q17" s="2">
        <f t="shared" ref="Q17:Q19" si="4">SQRT(Q18^2+2*9.81*$B$3*SQRT(($B18-$B17)^2+($C18-$C17)^2))</f>
        <v>76.688740410456987</v>
      </c>
      <c r="R17" s="2">
        <f t="shared" ref="R17:R35" si="5">SQRT(R18^2+2*9.81*$B$3*SQRT(($B18-$B17)^2+($C18-$C17)^2))</f>
        <v>145.58591939005134</v>
      </c>
      <c r="S17" s="2">
        <f>MIN(Tabela134[[#This Row],[Acc turn 1]:[Decel turn 2]])</f>
        <v>76.688740410456987</v>
      </c>
      <c r="T17" s="2">
        <f>Tabela134[[#This Row],[dx]]/Tabela134[[#This Row],[V final]]</f>
        <v>0.65198619422339854</v>
      </c>
      <c r="U17" s="2">
        <f>Tabela134[[#This Row],[V final]]*3.6</f>
        <v>276.07946547764516</v>
      </c>
    </row>
    <row r="18" spans="1:21" x14ac:dyDescent="0.3">
      <c r="A18" s="3">
        <v>3</v>
      </c>
      <c r="B18">
        <v>100</v>
      </c>
      <c r="C18">
        <v>0</v>
      </c>
      <c r="D18" t="s">
        <v>7</v>
      </c>
      <c r="E18">
        <f>SQRT((B19-B17)^2+(C19-C17)^2)</f>
        <v>100</v>
      </c>
      <c r="F18">
        <f>SQRT((B19-B18)^2+(C19-C18)^2)</f>
        <v>50</v>
      </c>
      <c r="G18">
        <f t="shared" si="3"/>
        <v>50</v>
      </c>
      <c r="H18">
        <f t="shared" si="1"/>
        <v>-1</v>
      </c>
      <c r="I18">
        <f>ACOS(Tabela134[[#This Row],[Cos A]])</f>
        <v>3.1415926535897931</v>
      </c>
      <c r="J18">
        <f>Tabela134[[#This Row],[A rad]]*180/PI()</f>
        <v>180</v>
      </c>
      <c r="K18" t="e">
        <f>E18/(2*SIN(PI()-Tabela134[[#This Row],[A rad]]))</f>
        <v>#DIV/0!</v>
      </c>
      <c r="L18" s="2">
        <f t="shared" ref="L18:L46" si="6">SQRT((B18-B17)^2+(C18-C17)^2)</f>
        <v>50</v>
      </c>
      <c r="M18">
        <f>M17+Tabela134[[#This Row],[dx]]</f>
        <v>100</v>
      </c>
      <c r="N18">
        <v>0</v>
      </c>
      <c r="O18" s="2">
        <f t="shared" ref="O18:O19" si="7">SQRT(O17^2+2*9.81*$B$3*SQRT((B18-B17)^2+(C18-C17)^2))</f>
        <v>145.20786589803393</v>
      </c>
      <c r="P18" s="2">
        <f t="shared" ref="P18:P37" si="8">SQRT(P17^2+2*9.81*$B$3*SQRT(($B18-$B17)^2+($C18-$C17)^2))</f>
        <v>88.709409109132423</v>
      </c>
      <c r="Q18" s="2">
        <f t="shared" si="4"/>
        <v>70.001163602774909</v>
      </c>
      <c r="R18" s="2">
        <f t="shared" si="5"/>
        <v>142.17686142493977</v>
      </c>
      <c r="S18" s="2">
        <f>MIN(Tabela134[[#This Row],[Acc turn 1]:[Decel turn 2]])</f>
        <v>70.001163602774909</v>
      </c>
      <c r="T18" s="2">
        <f>Tabela134[[#This Row],[dx]]/Tabela134[[#This Row],[V final]]</f>
        <v>0.71427384098537983</v>
      </c>
      <c r="U18" s="2">
        <f>Tabela134[[#This Row],[V final]]*3.6</f>
        <v>252.00418896998968</v>
      </c>
    </row>
    <row r="19" spans="1:21" x14ac:dyDescent="0.3">
      <c r="A19" s="3">
        <v>4</v>
      </c>
      <c r="B19">
        <v>150</v>
      </c>
      <c r="C19">
        <v>0</v>
      </c>
      <c r="D19" t="s">
        <v>7</v>
      </c>
      <c r="E19">
        <f t="shared" si="2"/>
        <v>100</v>
      </c>
      <c r="F19">
        <f t="shared" si="0"/>
        <v>50</v>
      </c>
      <c r="G19">
        <f t="shared" si="3"/>
        <v>50</v>
      </c>
      <c r="H19">
        <f t="shared" si="1"/>
        <v>-1</v>
      </c>
      <c r="I19">
        <f>ACOS(Tabela134[[#This Row],[Cos A]])</f>
        <v>3.1415926535897931</v>
      </c>
      <c r="J19">
        <f>Tabela134[[#This Row],[A rad]]*180/PI()</f>
        <v>180</v>
      </c>
      <c r="K19" t="e">
        <f>E19/(2*SIN(PI()-Tabela134[[#This Row],[A rad]]))</f>
        <v>#DIV/0!</v>
      </c>
      <c r="L19" s="2">
        <f t="shared" si="6"/>
        <v>50</v>
      </c>
      <c r="M19">
        <f>M18+Tabela134[[#This Row],[dx]]</f>
        <v>150</v>
      </c>
      <c r="N19">
        <v>0</v>
      </c>
      <c r="O19" s="2">
        <f t="shared" si="7"/>
        <v>148.54738071962564</v>
      </c>
      <c r="P19" s="2">
        <f t="shared" si="8"/>
        <v>94.076348060984103</v>
      </c>
      <c r="Q19" s="2">
        <f t="shared" si="4"/>
        <v>62.60321801427191</v>
      </c>
      <c r="R19" s="2">
        <f t="shared" si="5"/>
        <v>138.68402909003808</v>
      </c>
      <c r="S19" s="2">
        <f>MIN(Tabela134[[#This Row],[Acc turn 1]:[Decel turn 2]])</f>
        <v>62.60321801427191</v>
      </c>
      <c r="T19" s="2">
        <f>Tabela134[[#This Row],[dx]]/Tabela134[[#This Row],[V final]]</f>
        <v>0.79868098775052265</v>
      </c>
      <c r="U19" s="2">
        <f>Tabela134[[#This Row],[V final]]*3.6</f>
        <v>225.37158485137888</v>
      </c>
    </row>
    <row r="20" spans="1:21" x14ac:dyDescent="0.3">
      <c r="A20" s="3">
        <v>5</v>
      </c>
      <c r="B20">
        <v>200</v>
      </c>
      <c r="C20">
        <v>0</v>
      </c>
      <c r="D20" t="s">
        <v>7</v>
      </c>
      <c r="E20">
        <f t="shared" si="2"/>
        <v>100</v>
      </c>
      <c r="F20">
        <f t="shared" si="0"/>
        <v>50</v>
      </c>
      <c r="G20">
        <f t="shared" si="3"/>
        <v>50</v>
      </c>
      <c r="H20">
        <f t="shared" si="1"/>
        <v>-1</v>
      </c>
      <c r="I20">
        <f>ACOS(Tabela134[[#This Row],[Cos A]])</f>
        <v>3.1415926535897931</v>
      </c>
      <c r="J20">
        <f>Tabela134[[#This Row],[A rad]]*180/PI()</f>
        <v>180</v>
      </c>
      <c r="K20" t="e">
        <f>E20/(2*SIN(PI()-Tabela134[[#This Row],[A rad]]))</f>
        <v>#DIV/0!</v>
      </c>
      <c r="L20" s="2">
        <f t="shared" si="6"/>
        <v>50</v>
      </c>
      <c r="M20">
        <f>M19+Tabela134[[#This Row],[dx]]</f>
        <v>200</v>
      </c>
      <c r="N20">
        <v>0</v>
      </c>
      <c r="O20" s="2">
        <f>SQRT(O19^2+2*9.81*$B$3*SQRT(($B20-$B19)^2+($C20-$C19)^2))</f>
        <v>151.81345236395029</v>
      </c>
      <c r="P20" s="2">
        <f t="shared" si="8"/>
        <v>99.153211064954561</v>
      </c>
      <c r="Q20" s="2">
        <f>SQRT(Q21^2+2*9.81*$B$3*SQRT(($B20-$B21)^2+($C20-$C21)^2))</f>
        <v>54.204823639067946</v>
      </c>
      <c r="R20" s="2">
        <f t="shared" si="5"/>
        <v>135.10092495851586</v>
      </c>
      <c r="S20" s="2">
        <f>MIN(Tabela134[[#This Row],[Acc turn 1]:[Decel turn 2]])</f>
        <v>54.204823639067946</v>
      </c>
      <c r="T20" s="2">
        <f>Tabela134[[#This Row],[dx]]/Tabela134[[#This Row],[V final]]</f>
        <v>0.922427131816414</v>
      </c>
      <c r="U20" s="2">
        <f>Tabela134[[#This Row],[V final]]*3.6</f>
        <v>195.13736510064462</v>
      </c>
    </row>
    <row r="21" spans="1:21" x14ac:dyDescent="0.3">
      <c r="A21" s="3">
        <v>6</v>
      </c>
      <c r="B21">
        <v>250</v>
      </c>
      <c r="C21">
        <v>0</v>
      </c>
      <c r="D21" t="s">
        <v>7</v>
      </c>
      <c r="E21">
        <f t="shared" si="2"/>
        <v>98.704410744923138</v>
      </c>
      <c r="F21">
        <f t="shared" si="0"/>
        <v>49.480356713573705</v>
      </c>
      <c r="G21">
        <f t="shared" si="3"/>
        <v>50</v>
      </c>
      <c r="H21">
        <f t="shared" si="1"/>
        <v>-0.96892086444575187</v>
      </c>
      <c r="I21">
        <f>ACOS(Tabela134[[#This Row],[Cos A]])</f>
        <v>2.8916267811735894</v>
      </c>
      <c r="J21">
        <f>Tabela134[[#This Row],[A rad]]*180/PI()</f>
        <v>165.67801048824592</v>
      </c>
      <c r="K21">
        <f>E21/(2*SIN(PI()-Tabela134[[#This Row],[A rad]]))</f>
        <v>199.50692209403246</v>
      </c>
      <c r="L21" s="2">
        <f t="shared" si="6"/>
        <v>50</v>
      </c>
      <c r="M21">
        <f>M20+Tabela134[[#This Row],[dx]]</f>
        <v>250</v>
      </c>
      <c r="N21">
        <v>0</v>
      </c>
      <c r="O21" s="2">
        <f>SQRT(9.81*$B$3*Tabela134[[#This Row],[R]])</f>
        <v>44.239833925348982</v>
      </c>
      <c r="P21" s="2">
        <f t="shared" si="8"/>
        <v>103.98249499070229</v>
      </c>
      <c r="Q21" s="2">
        <f>SQRT(9.81*$B$3*Tabela134[[#This Row],[R]])</f>
        <v>44.239833925348982</v>
      </c>
      <c r="R21" s="2">
        <f t="shared" si="5"/>
        <v>131.42016559358967</v>
      </c>
      <c r="S21" s="2">
        <f>MIN(Tabela134[[#This Row],[Acc turn 1]:[Decel turn 2]])</f>
        <v>44.239833925348982</v>
      </c>
      <c r="T21" s="2">
        <f>Tabela134[[#This Row],[dx]]/Tabela134[[#This Row],[V final]]</f>
        <v>1.1302031577327079</v>
      </c>
      <c r="U21" s="2">
        <f>Tabela134[[#This Row],[V final]]*3.6</f>
        <v>159.26340213125633</v>
      </c>
    </row>
    <row r="22" spans="1:21" x14ac:dyDescent="0.3">
      <c r="A22" s="3">
        <v>7</v>
      </c>
      <c r="B22">
        <v>297.94254999999998</v>
      </c>
      <c r="C22">
        <v>12.24</v>
      </c>
      <c r="D22" t="s">
        <v>8</v>
      </c>
      <c r="E22">
        <f t="shared" si="2"/>
        <v>95.887764600078128</v>
      </c>
      <c r="F22">
        <f t="shared" si="0"/>
        <v>49.484263513792939</v>
      </c>
      <c r="G22">
        <f t="shared" si="3"/>
        <v>49.480356713573705</v>
      </c>
      <c r="H22">
        <f t="shared" si="1"/>
        <v>-0.87757139083832447</v>
      </c>
      <c r="I22">
        <f>ACOS(Tabela134[[#This Row],[Cos A]])</f>
        <v>2.6415693531751803</v>
      </c>
      <c r="J22">
        <f>Tabela134[[#This Row],[A rad]]*180/PI()</f>
        <v>151.35077522804062</v>
      </c>
      <c r="K22">
        <f>E22/(2*SIN(PI()-Tabela134[[#This Row],[A rad]]))</f>
        <v>99.998505877321151</v>
      </c>
      <c r="L22" s="2">
        <f t="shared" si="6"/>
        <v>49.480356713573705</v>
      </c>
      <c r="M22">
        <f>M21+Tabela134[[#This Row],[dx]]</f>
        <v>299.48035671357371</v>
      </c>
      <c r="N22">
        <v>100</v>
      </c>
      <c r="O22" s="2">
        <f>SQRT(9.81*$B$3*Tabela134[[#This Row],[R]])</f>
        <v>31.320685539376697</v>
      </c>
      <c r="P22" s="2">
        <f t="shared" si="8"/>
        <v>108.5502826491564</v>
      </c>
      <c r="Q22" s="2">
        <f>SQRT(9.81*$B$3*Tabela134[[#This Row],[R]])</f>
        <v>31.320685539376697</v>
      </c>
      <c r="R22" s="2">
        <f t="shared" si="5"/>
        <v>127.67323652953353</v>
      </c>
      <c r="S22" s="2">
        <f>MIN(Tabela134[[#This Row],[Acc turn 1]:[Decel turn 2]])</f>
        <v>31.320685539376697</v>
      </c>
      <c r="T22" s="2">
        <f>Tabela134[[#This Row],[dx]]/Tabela134[[#This Row],[V final]]</f>
        <v>1.5797980108502567</v>
      </c>
      <c r="U22" s="2">
        <f>Tabela134[[#This Row],[V final]]*3.6</f>
        <v>112.75446794175612</v>
      </c>
    </row>
    <row r="23" spans="1:21" x14ac:dyDescent="0.3">
      <c r="A23" s="3">
        <v>8</v>
      </c>
      <c r="B23">
        <v>334.15</v>
      </c>
      <c r="C23">
        <v>45.97</v>
      </c>
      <c r="D23" t="s">
        <v>8</v>
      </c>
      <c r="E23">
        <f t="shared" si="2"/>
        <v>95.889978493597056</v>
      </c>
      <c r="F23">
        <f t="shared" si="0"/>
        <v>49.483346693609974</v>
      </c>
      <c r="G23">
        <f t="shared" si="3"/>
        <v>49.484263513792939</v>
      </c>
      <c r="H23">
        <f t="shared" si="1"/>
        <v>-0.87754463941455596</v>
      </c>
      <c r="I23">
        <f>ACOS(Tabela134[[#This Row],[Cos A]])</f>
        <v>2.6415135594911709</v>
      </c>
      <c r="J23">
        <f>Tabela134[[#This Row],[A rad]]*180/PI()</f>
        <v>151.34757848542338</v>
      </c>
      <c r="K23">
        <f>E23/(2*SIN(PI()-Tabela134[[#This Row],[A rad]]))</f>
        <v>99.990603396687973</v>
      </c>
      <c r="L23" s="2">
        <f t="shared" si="6"/>
        <v>49.484263513792939</v>
      </c>
      <c r="M23">
        <f>M22+Tabela134[[#This Row],[dx]]</f>
        <v>348.96462022736665</v>
      </c>
      <c r="N23">
        <v>100</v>
      </c>
      <c r="O23" s="2">
        <f>SQRT(9.81*$B$3*Tabela134[[#This Row],[R]])</f>
        <v>31.319447940880266</v>
      </c>
      <c r="P23" s="2">
        <f t="shared" si="8"/>
        <v>112.93380854886796</v>
      </c>
      <c r="Q23" s="2">
        <f>SQRT(9.81*$B$3*Tabela134[[#This Row],[R]])</f>
        <v>31.319447940880266</v>
      </c>
      <c r="R23" s="2">
        <f t="shared" si="5"/>
        <v>123.81265717116969</v>
      </c>
      <c r="S23" s="2">
        <f>MIN(Tabela134[[#This Row],[Acc turn 1]:[Decel turn 2]])</f>
        <v>31.319447940880266</v>
      </c>
      <c r="T23" s="2">
        <f>Tabela134[[#This Row],[dx]]/Tabela134[[#This Row],[V final]]</f>
        <v>1.579985177491035</v>
      </c>
      <c r="U23" s="2">
        <f>Tabela134[[#This Row],[V final]]*3.6</f>
        <v>112.75001258716897</v>
      </c>
    </row>
    <row r="24" spans="1:21" x14ac:dyDescent="0.3">
      <c r="A24" s="3">
        <v>9</v>
      </c>
      <c r="B24">
        <v>349.75</v>
      </c>
      <c r="C24">
        <v>92.93</v>
      </c>
      <c r="D24" t="s">
        <v>8</v>
      </c>
      <c r="E24">
        <f t="shared" si="2"/>
        <v>95.880018773465011</v>
      </c>
      <c r="F24">
        <f t="shared" si="0"/>
        <v>49.47256613518244</v>
      </c>
      <c r="G24">
        <f t="shared" si="3"/>
        <v>49.483346693609974</v>
      </c>
      <c r="H24">
        <f t="shared" si="1"/>
        <v>-0.87759844721541624</v>
      </c>
      <c r="I24">
        <f>ACOS(Tabela134[[#This Row],[Cos A]])</f>
        <v>2.6416257886765395</v>
      </c>
      <c r="J24">
        <f>Tabela134[[#This Row],[A rad]]*180/PI()</f>
        <v>151.35400874408322</v>
      </c>
      <c r="K24">
        <f>E24/(2*SIN(PI()-Tabela134[[#This Row],[A rad]]))</f>
        <v>100.00075809917833</v>
      </c>
      <c r="L24" s="2">
        <f t="shared" si="6"/>
        <v>49.483346693609974</v>
      </c>
      <c r="M24">
        <f>M23+Tabela134[[#This Row],[dx]]</f>
        <v>398.44796692097663</v>
      </c>
      <c r="N24">
        <v>100</v>
      </c>
      <c r="O24" s="2">
        <f>SQRT(9.81*$B$3*Tabela134[[#This Row],[R]])</f>
        <v>31.321038248323433</v>
      </c>
      <c r="P24" s="2">
        <f t="shared" si="8"/>
        <v>117.1533540940292</v>
      </c>
      <c r="Q24" s="2">
        <f>SQRT(9.81*$B$3*Tabela134[[#This Row],[R]])</f>
        <v>31.321038248323433</v>
      </c>
      <c r="R24" s="2">
        <f t="shared" si="5"/>
        <v>119.82783822491737</v>
      </c>
      <c r="S24" s="2">
        <f>MIN(Tabela134[[#This Row],[Acc turn 1]:[Decel turn 2]])</f>
        <v>31.321038248323433</v>
      </c>
      <c r="T24" s="2">
        <f>Tabela134[[#This Row],[dx]]/Tabela134[[#This Row],[V final]]</f>
        <v>1.579875682960757</v>
      </c>
      <c r="U24" s="2">
        <f>Tabela134[[#This Row],[V final]]*3.6</f>
        <v>112.75573769396436</v>
      </c>
    </row>
    <row r="25" spans="1:21" x14ac:dyDescent="0.3">
      <c r="A25" s="3">
        <v>10</v>
      </c>
      <c r="B25">
        <v>340.93</v>
      </c>
      <c r="C25">
        <v>141.61000000000001</v>
      </c>
      <c r="D25" t="s">
        <v>8</v>
      </c>
      <c r="E25">
        <f t="shared" si="2"/>
        <v>95.876808457520113</v>
      </c>
      <c r="F25">
        <f t="shared" si="0"/>
        <v>49.479454321970842</v>
      </c>
      <c r="G25">
        <f t="shared" si="3"/>
        <v>49.47256613518244</v>
      </c>
      <c r="H25">
        <f t="shared" si="1"/>
        <v>-0.87762042352980696</v>
      </c>
      <c r="I25">
        <f>ACOS(Tabela134[[#This Row],[Cos A]])</f>
        <v>2.641671632228686</v>
      </c>
      <c r="J25">
        <f>Tabela134[[#This Row],[A rad]]*180/PI()</f>
        <v>151.35663538613909</v>
      </c>
      <c r="K25">
        <f>E25/(2*SIN(PI()-Tabela134[[#This Row],[A rad]]))</f>
        <v>100.00580266892577</v>
      </c>
      <c r="L25" s="2">
        <f t="shared" si="6"/>
        <v>49.47256613518244</v>
      </c>
      <c r="M25">
        <f>M24+Tabela134[[#This Row],[dx]]</f>
        <v>447.92053305615906</v>
      </c>
      <c r="N25">
        <v>100</v>
      </c>
      <c r="O25" s="2">
        <f>SQRT(9.81*$B$3*Tabela134[[#This Row],[R]])</f>
        <v>31.321828238181784</v>
      </c>
      <c r="P25" s="2">
        <f t="shared" si="8"/>
        <v>121.22524540314723</v>
      </c>
      <c r="Q25" s="2">
        <f>SQRT(9.81*$B$3*Tabela134[[#This Row],[R]])</f>
        <v>31.321828238181784</v>
      </c>
      <c r="R25" s="2">
        <f t="shared" si="5"/>
        <v>115.70678055362481</v>
      </c>
      <c r="S25" s="2">
        <f>MIN(Tabela134[[#This Row],[Acc turn 1]:[Decel turn 2]])</f>
        <v>31.321828238181784</v>
      </c>
      <c r="T25" s="2">
        <f>Tabela134[[#This Row],[dx]]/Tabela134[[#This Row],[V final]]</f>
        <v>1.5794916490498672</v>
      </c>
      <c r="U25" s="2">
        <f>Tabela134[[#This Row],[V final]]*3.6</f>
        <v>112.75858165745443</v>
      </c>
    </row>
    <row r="26" spans="1:21" x14ac:dyDescent="0.3">
      <c r="A26" s="3">
        <v>11</v>
      </c>
      <c r="B26">
        <v>309.85000000000002</v>
      </c>
      <c r="C26">
        <v>180.11</v>
      </c>
      <c r="D26" t="s">
        <v>8</v>
      </c>
      <c r="E26">
        <f t="shared" si="2"/>
        <v>96.357013756135061</v>
      </c>
      <c r="F26">
        <f t="shared" si="0"/>
        <v>50.003944844382055</v>
      </c>
      <c r="G26">
        <f t="shared" si="3"/>
        <v>49.479454321970842</v>
      </c>
      <c r="H26">
        <f t="shared" si="1"/>
        <v>-0.87626696464441767</v>
      </c>
      <c r="I26">
        <f>ACOS(Tabela134[[#This Row],[Cos A]])</f>
        <v>2.638855395970733</v>
      </c>
      <c r="J26">
        <f>Tabela134[[#This Row],[A rad]]*180/PI()</f>
        <v>151.19527693444667</v>
      </c>
      <c r="K26">
        <f>E26/(2*SIN(PI()-Tabela134[[#This Row],[A rad]]))</f>
        <v>99.991523844795282</v>
      </c>
      <c r="L26" s="2">
        <f t="shared" si="6"/>
        <v>49.479454321970842</v>
      </c>
      <c r="M26">
        <f>M25+Tabela134[[#This Row],[dx]]</f>
        <v>497.39998737812988</v>
      </c>
      <c r="N26">
        <v>100</v>
      </c>
      <c r="O26" s="2">
        <f>SQRT(9.81*$B$3*Tabela134[[#This Row],[R]])</f>
        <v>31.319592093726918</v>
      </c>
      <c r="P26" s="2">
        <f t="shared" si="8"/>
        <v>125.16527879907565</v>
      </c>
      <c r="Q26" s="2">
        <f>SQRT(9.81*$B$3*Tabela134[[#This Row],[R]])</f>
        <v>31.319592093726918</v>
      </c>
      <c r="R26" s="2">
        <f t="shared" si="5"/>
        <v>111.43281461170952</v>
      </c>
      <c r="S26" s="2">
        <f>MIN(Tabela134[[#This Row],[Acc turn 1]:[Decel turn 2]])</f>
        <v>31.319592093726918</v>
      </c>
      <c r="T26" s="2">
        <f>Tabela134[[#This Row],[dx]]/Tabela134[[#This Row],[V final]]</f>
        <v>1.5798243532003473</v>
      </c>
      <c r="U26" s="2">
        <f>Tabela134[[#This Row],[V final]]*3.6</f>
        <v>112.7505315374169</v>
      </c>
    </row>
    <row r="27" spans="1:21" x14ac:dyDescent="0.3">
      <c r="A27" s="3">
        <v>12</v>
      </c>
      <c r="B27">
        <v>263.58</v>
      </c>
      <c r="C27">
        <v>199.07</v>
      </c>
      <c r="D27" t="s">
        <v>8</v>
      </c>
      <c r="E27">
        <f t="shared" si="2"/>
        <v>81.638781225591586</v>
      </c>
      <c r="F27">
        <f t="shared" si="0"/>
        <v>33.396510296736089</v>
      </c>
      <c r="G27">
        <f t="shared" si="3"/>
        <v>50.003944844382055</v>
      </c>
      <c r="H27">
        <f t="shared" si="1"/>
        <v>-0.91294827571158943</v>
      </c>
      <c r="I27">
        <f>ACOS(Tabela134[[#This Row],[Cos A]])</f>
        <v>2.721247818003051</v>
      </c>
      <c r="J27">
        <f>Tabela134[[#This Row],[A rad]]*180/PI()</f>
        <v>155.9160149807592</v>
      </c>
      <c r="K27">
        <f>E27/(2*SIN(PI()-Tabela134[[#This Row],[A rad]]))</f>
        <v>100.02906614526879</v>
      </c>
      <c r="L27" s="2">
        <f t="shared" si="6"/>
        <v>50.003944844382055</v>
      </c>
      <c r="M27">
        <f>M26+Tabela134[[#This Row],[dx]]</f>
        <v>547.40393222251191</v>
      </c>
      <c r="N27">
        <v>100</v>
      </c>
      <c r="O27" s="2">
        <f>SQRT(9.81*$B$3*Tabela134[[#This Row],[R]])</f>
        <v>31.325471087999407</v>
      </c>
      <c r="P27" s="2">
        <f t="shared" si="8"/>
        <v>129.024898429323</v>
      </c>
      <c r="Q27" s="2">
        <f>SQRT(9.81*$B$3*Tabela134[[#This Row],[R]])</f>
        <v>31.325471087999407</v>
      </c>
      <c r="R27" s="2">
        <f t="shared" si="5"/>
        <v>106.94014575659062</v>
      </c>
      <c r="S27" s="2">
        <f>MIN(Tabela134[[#This Row],[Acc turn 1]:[Decel turn 2]])</f>
        <v>31.325471087999407</v>
      </c>
      <c r="T27" s="2">
        <f>Tabela134[[#This Row],[dx]]/Tabela134[[#This Row],[V final]]</f>
        <v>1.596271120836815</v>
      </c>
      <c r="U27" s="2">
        <f>Tabela134[[#This Row],[V final]]*3.6</f>
        <v>112.77169591679787</v>
      </c>
    </row>
    <row r="28" spans="1:21" x14ac:dyDescent="0.3">
      <c r="A28" s="3">
        <v>13</v>
      </c>
      <c r="B28">
        <v>230.2</v>
      </c>
      <c r="C28">
        <v>198.02</v>
      </c>
      <c r="D28" t="s">
        <v>9</v>
      </c>
      <c r="E28">
        <f t="shared" si="2"/>
        <v>83.114466851445286</v>
      </c>
      <c r="F28">
        <f t="shared" si="0"/>
        <v>49.999900999901982</v>
      </c>
      <c r="G28">
        <f t="shared" si="3"/>
        <v>33.396510296736089</v>
      </c>
      <c r="H28">
        <f t="shared" si="1"/>
        <v>-0.98594257013805819</v>
      </c>
      <c r="I28">
        <f>ACOS(Tabela134[[#This Row],[Cos A]])</f>
        <v>2.9737207434466892</v>
      </c>
      <c r="J28">
        <f>Tabela134[[#This Row],[A rad]]*180/PI()</f>
        <v>170.38164805000076</v>
      </c>
      <c r="K28">
        <f>E28/(2*SIN(PI()-Tabela134[[#This Row],[A rad]]))</f>
        <v>248.71977857242197</v>
      </c>
      <c r="L28" s="2">
        <f t="shared" si="6"/>
        <v>33.396510296736089</v>
      </c>
      <c r="M28">
        <f>M27+Tabela134[[#This Row],[dx]]</f>
        <v>580.80044251924801</v>
      </c>
      <c r="N28">
        <v>0</v>
      </c>
      <c r="O28" s="2">
        <f>SQRT(O27^2+2*9.81*$B$3*SQRT((B28-B27)^2+(C28-C27)^2))</f>
        <v>40.453982139055839</v>
      </c>
      <c r="P28" s="2">
        <f t="shared" si="8"/>
        <v>131.53959079577174</v>
      </c>
      <c r="Q28" s="2">
        <f>SQRT(9.81*$B$3*Tabela134[[#This Row],[R]])</f>
        <v>49.395759208614862</v>
      </c>
      <c r="R28" s="2">
        <f t="shared" si="5"/>
        <v>103.83137889106011</v>
      </c>
      <c r="S28" s="2">
        <f>MIN(Tabela134[[#This Row],[Acc turn 1]:[Decel turn 2]])</f>
        <v>40.453982139055839</v>
      </c>
      <c r="T28" s="2">
        <f>Tabela134[[#This Row],[dx]]/Tabela134[[#This Row],[V final]]</f>
        <v>0.8255432106025925</v>
      </c>
      <c r="U28" s="2">
        <f>Tabela134[[#This Row],[V final]]*3.6</f>
        <v>145.63433570060101</v>
      </c>
    </row>
    <row r="29" spans="1:21" x14ac:dyDescent="0.3">
      <c r="A29" s="3">
        <v>14</v>
      </c>
      <c r="B29">
        <v>181.19</v>
      </c>
      <c r="C29">
        <v>188.12</v>
      </c>
      <c r="D29" t="s">
        <v>9</v>
      </c>
      <c r="E29">
        <f t="shared" si="2"/>
        <v>99.999801999803964</v>
      </c>
      <c r="F29">
        <f t="shared" si="0"/>
        <v>49.999900999901982</v>
      </c>
      <c r="G29">
        <f t="shared" si="3"/>
        <v>49.999900999901982</v>
      </c>
      <c r="H29">
        <f t="shared" si="1"/>
        <v>-1</v>
      </c>
      <c r="I29">
        <f>ACOS(Tabela134[[#This Row],[Cos A]])</f>
        <v>3.1415926535897931</v>
      </c>
      <c r="J29">
        <f>Tabela134[[#This Row],[A rad]]*180/PI()</f>
        <v>180</v>
      </c>
      <c r="K29" t="e">
        <f>E29/(2*SIN(PI()-Tabela134[[#This Row],[A rad]]))</f>
        <v>#DIV/0!</v>
      </c>
      <c r="L29" s="2">
        <f t="shared" si="6"/>
        <v>49.999900999901982</v>
      </c>
      <c r="M29">
        <f>M28+Tabela134[[#This Row],[dx]]</f>
        <v>630.80034351915003</v>
      </c>
      <c r="N29">
        <v>0</v>
      </c>
      <c r="O29" s="2">
        <f t="shared" ref="O29:O46" si="9">SQRT(O28^2+2*9.81*$B$3*SQRT((B29-B28)^2+(C29-C28)^2))</f>
        <v>51.161731093905786</v>
      </c>
      <c r="P29" s="2">
        <f t="shared" si="8"/>
        <v>135.21709213090318</v>
      </c>
      <c r="Q29" s="2">
        <f t="shared" ref="Q29:R45" si="10">SQRT(Q30^2+2*9.81*$B$3*SQRT(($B30-$B29)^2+($C30-$C29)^2))</f>
        <v>152.86583822384497</v>
      </c>
      <c r="R29" s="2">
        <f t="shared" si="5"/>
        <v>98.994733116468396</v>
      </c>
      <c r="S29" s="2">
        <f>MIN(Tabela134[[#This Row],[Acc turn 1]:[Decel turn 2]])</f>
        <v>51.161731093905786</v>
      </c>
      <c r="T29" s="2">
        <f>Tabela134[[#This Row],[dx]]/Tabela134[[#This Row],[V final]]</f>
        <v>0.97729103239545778</v>
      </c>
      <c r="U29" s="2">
        <f>Tabela134[[#This Row],[V final]]*3.6</f>
        <v>184.18223193806082</v>
      </c>
    </row>
    <row r="30" spans="1:21" x14ac:dyDescent="0.3">
      <c r="A30" s="3">
        <v>15</v>
      </c>
      <c r="B30">
        <v>132.18</v>
      </c>
      <c r="C30">
        <v>178.22</v>
      </c>
      <c r="D30" t="s">
        <v>9</v>
      </c>
      <c r="E30">
        <f t="shared" si="2"/>
        <v>99.999801999803978</v>
      </c>
      <c r="F30">
        <f t="shared" si="0"/>
        <v>49.999900999901996</v>
      </c>
      <c r="G30">
        <f t="shared" si="3"/>
        <v>49.999900999901982</v>
      </c>
      <c r="H30">
        <f t="shared" si="1"/>
        <v>-1</v>
      </c>
      <c r="I30">
        <f>ACOS(Tabela134[[#This Row],[Cos A]])</f>
        <v>3.1415926535897931</v>
      </c>
      <c r="J30">
        <f>Tabela134[[#This Row],[A rad]]*180/PI()</f>
        <v>180</v>
      </c>
      <c r="K30" t="e">
        <f>E30/(2*SIN(PI()-Tabela134[[#This Row],[A rad]]))</f>
        <v>#DIV/0!</v>
      </c>
      <c r="L30" s="2">
        <f t="shared" si="6"/>
        <v>49.999900999901982</v>
      </c>
      <c r="M30">
        <f>M29+Tabela134[[#This Row],[dx]]</f>
        <v>680.80024451905206</v>
      </c>
      <c r="N30">
        <v>0</v>
      </c>
      <c r="O30" s="2">
        <f t="shared" si="9"/>
        <v>59.987671951353498</v>
      </c>
      <c r="P30" s="2">
        <f t="shared" si="8"/>
        <v>138.79719039647463</v>
      </c>
      <c r="Q30" s="2">
        <f t="shared" si="10"/>
        <v>149.62274706160377</v>
      </c>
      <c r="R30" s="2">
        <f t="shared" si="5"/>
        <v>93.909313314403093</v>
      </c>
      <c r="S30" s="2">
        <f>MIN(Tabela134[[#This Row],[Acc turn 1]:[Decel turn 2]])</f>
        <v>59.987671951353498</v>
      </c>
      <c r="T30" s="2">
        <f>Tabela134[[#This Row],[dx]]/Tabela134[[#This Row],[V final]]</f>
        <v>0.83350294107844336</v>
      </c>
      <c r="U30" s="2">
        <f>Tabela134[[#This Row],[V final]]*3.6</f>
        <v>215.95561902487259</v>
      </c>
    </row>
    <row r="31" spans="1:21" x14ac:dyDescent="0.3">
      <c r="A31" s="3">
        <v>16</v>
      </c>
      <c r="B31">
        <v>83.17</v>
      </c>
      <c r="C31">
        <v>168.32</v>
      </c>
      <c r="D31" t="s">
        <v>9</v>
      </c>
      <c r="E31">
        <f t="shared" si="2"/>
        <v>99.999801999803992</v>
      </c>
      <c r="F31">
        <f t="shared" si="0"/>
        <v>49.999900999901996</v>
      </c>
      <c r="G31">
        <f t="shared" si="3"/>
        <v>49.999900999901996</v>
      </c>
      <c r="H31">
        <f t="shared" si="1"/>
        <v>-1</v>
      </c>
      <c r="I31">
        <f>ACOS(Tabela134[[#This Row],[Cos A]])</f>
        <v>3.1415926535897931</v>
      </c>
      <c r="J31">
        <f>Tabela134[[#This Row],[A rad]]*180/PI()</f>
        <v>180</v>
      </c>
      <c r="K31" t="e">
        <f>E31/(2*SIN(PI()-Tabela134[[#This Row],[A rad]]))</f>
        <v>#DIV/0!</v>
      </c>
      <c r="L31" s="2">
        <f t="shared" si="6"/>
        <v>49.999900999901996</v>
      </c>
      <c r="M31">
        <f>M30+Tabela134[[#This Row],[dx]]</f>
        <v>730.80014551895408</v>
      </c>
      <c r="N31">
        <v>0</v>
      </c>
      <c r="O31" s="2">
        <f t="shared" si="9"/>
        <v>67.672142302141438</v>
      </c>
      <c r="P31" s="2">
        <f t="shared" si="8"/>
        <v>142.28723807697341</v>
      </c>
      <c r="Q31" s="2">
        <f t="shared" si="10"/>
        <v>146.30778646621164</v>
      </c>
      <c r="R31" s="2">
        <f t="shared" si="5"/>
        <v>88.532260050021591</v>
      </c>
      <c r="S31" s="2">
        <f>MIN(Tabela134[[#This Row],[Acc turn 1]:[Decel turn 2]])</f>
        <v>67.672142302141438</v>
      </c>
      <c r="T31" s="2">
        <f>Tabela134[[#This Row],[dx]]/Tabela134[[#This Row],[V final]]</f>
        <v>0.7388550044221045</v>
      </c>
      <c r="U31" s="2">
        <f>Tabela134[[#This Row],[V final]]*3.6</f>
        <v>243.61971228770918</v>
      </c>
    </row>
    <row r="32" spans="1:21" x14ac:dyDescent="0.3">
      <c r="A32" s="3">
        <v>17</v>
      </c>
      <c r="B32">
        <v>34.159999999999997</v>
      </c>
      <c r="C32">
        <v>158.41999999999999</v>
      </c>
      <c r="D32" t="s">
        <v>9</v>
      </c>
      <c r="E32">
        <f t="shared" si="2"/>
        <v>100.00178248411375</v>
      </c>
      <c r="F32">
        <f t="shared" si="0"/>
        <v>50.00188196458209</v>
      </c>
      <c r="G32">
        <f t="shared" si="3"/>
        <v>49.999900999901996</v>
      </c>
      <c r="H32">
        <f t="shared" si="1"/>
        <v>-0.99999998078552943</v>
      </c>
      <c r="I32">
        <f>ACOS(Tabela134[[#This Row],[Cos A]])</f>
        <v>3.1413966205797124</v>
      </c>
      <c r="J32">
        <f>Tabela134[[#This Row],[A rad]]*180/PI()</f>
        <v>179.98876813587714</v>
      </c>
      <c r="K32">
        <f>E32/(2*SIN(PI()-Tabela134[[#This Row],[A rad]]))</f>
        <v>255063.63209801438</v>
      </c>
      <c r="L32" s="2">
        <f t="shared" si="6"/>
        <v>49.999900999901996</v>
      </c>
      <c r="M32">
        <f>M31+Tabela134[[#This Row],[dx]]</f>
        <v>780.80004651885611</v>
      </c>
      <c r="N32">
        <v>0</v>
      </c>
      <c r="O32" s="2">
        <f t="shared" si="9"/>
        <v>74.568873542379308</v>
      </c>
      <c r="P32" s="2">
        <f t="shared" si="8"/>
        <v>145.69370671786544</v>
      </c>
      <c r="Q32" s="2">
        <f t="shared" si="10"/>
        <v>142.91595545293222</v>
      </c>
      <c r="R32" s="2">
        <f t="shared" si="5"/>
        <v>82.806781195422474</v>
      </c>
      <c r="S32" s="2">
        <f>MIN(Tabela134[[#This Row],[Acc turn 1]:[Decel turn 2]])</f>
        <v>74.568873542379308</v>
      </c>
      <c r="T32" s="2">
        <f>Tabela134[[#This Row],[dx]]/Tabela134[[#This Row],[V final]]</f>
        <v>0.67051973061502446</v>
      </c>
      <c r="U32" s="2">
        <f>Tabela134[[#This Row],[V final]]*3.6</f>
        <v>268.44794475256549</v>
      </c>
    </row>
    <row r="33" spans="1:21" x14ac:dyDescent="0.3">
      <c r="A33" s="3">
        <v>18</v>
      </c>
      <c r="B33">
        <v>-14.85</v>
      </c>
      <c r="C33">
        <v>148.51</v>
      </c>
      <c r="D33" t="s">
        <v>9</v>
      </c>
      <c r="E33">
        <f t="shared" si="2"/>
        <v>100.00178248411375</v>
      </c>
      <c r="F33">
        <f t="shared" si="0"/>
        <v>49.999900999901982</v>
      </c>
      <c r="G33">
        <f t="shared" si="3"/>
        <v>50.00188196458209</v>
      </c>
      <c r="H33">
        <f t="shared" si="1"/>
        <v>-0.99999998078552976</v>
      </c>
      <c r="I33">
        <f>ACOS(Tabela134[[#This Row],[Cos A]])</f>
        <v>3.1413966205808448</v>
      </c>
      <c r="J33">
        <f>Tabela134[[#This Row],[A rad]]*180/PI()</f>
        <v>179.98876813594202</v>
      </c>
      <c r="K33">
        <f>E33/(2*SIN(PI()-Tabela134[[#This Row],[A rad]]))</f>
        <v>255063.63357144513</v>
      </c>
      <c r="L33" s="2">
        <f t="shared" si="6"/>
        <v>50.00188196458209</v>
      </c>
      <c r="M33">
        <f>M32+Tabela134[[#This Row],[dx]]</f>
        <v>830.80192848343825</v>
      </c>
      <c r="N33">
        <v>0</v>
      </c>
      <c r="O33" s="2">
        <f t="shared" si="9"/>
        <v>80.87987280853288</v>
      </c>
      <c r="P33" s="2">
        <f t="shared" si="8"/>
        <v>149.02245837905269</v>
      </c>
      <c r="Q33" s="2">
        <f t="shared" si="10"/>
        <v>139.44150529479882</v>
      </c>
      <c r="R33" s="2">
        <f t="shared" si="5"/>
        <v>76.654589476439511</v>
      </c>
      <c r="S33" s="2">
        <f>MIN(Tabela134[[#This Row],[Acc turn 1]:[Decel turn 2]])</f>
        <v>76.654589476439511</v>
      </c>
      <c r="T33" s="2">
        <f>Tabela134[[#This Row],[dx]]/Tabela134[[#This Row],[V final]]</f>
        <v>0.65230121648424755</v>
      </c>
      <c r="U33" s="2">
        <f>Tabela134[[#This Row],[V final]]*3.6</f>
        <v>275.95652211518222</v>
      </c>
    </row>
    <row r="34" spans="1:21" x14ac:dyDescent="0.3">
      <c r="A34" s="3">
        <v>19</v>
      </c>
      <c r="B34">
        <v>-63.86</v>
      </c>
      <c r="C34">
        <v>138.61000000000001</v>
      </c>
      <c r="D34" t="s">
        <v>9</v>
      </c>
      <c r="E34">
        <f t="shared" si="2"/>
        <v>99.999801999803992</v>
      </c>
      <c r="F34">
        <f t="shared" si="0"/>
        <v>49.999900999901996</v>
      </c>
      <c r="G34">
        <f t="shared" si="3"/>
        <v>49.999900999901982</v>
      </c>
      <c r="H34">
        <f t="shared" si="1"/>
        <v>-1.0000000000000004</v>
      </c>
      <c r="I34" t="e">
        <f>ACOS(Tabela134[[#This Row],[Cos A]])</f>
        <v>#NUM!</v>
      </c>
      <c r="J34" t="e">
        <f>Tabela134[[#This Row],[A rad]]*180/PI()</f>
        <v>#NUM!</v>
      </c>
      <c r="K34" t="e">
        <f>E34/(2*SIN(PI()-Tabela134[[#This Row],[A rad]]))</f>
        <v>#NUM!</v>
      </c>
      <c r="L34" s="2">
        <f t="shared" si="6"/>
        <v>49.999900999901982</v>
      </c>
      <c r="M34">
        <f>M33+Tabela134[[#This Row],[dx]]</f>
        <v>880.80182948334027</v>
      </c>
      <c r="N34">
        <v>0</v>
      </c>
      <c r="O34" s="2">
        <f t="shared" si="9"/>
        <v>86.732646005656562</v>
      </c>
      <c r="P34" s="2">
        <f t="shared" si="8"/>
        <v>152.278334502826</v>
      </c>
      <c r="Q34" s="2">
        <f t="shared" si="10"/>
        <v>135.87838437831576</v>
      </c>
      <c r="R34" s="2">
        <f t="shared" si="5"/>
        <v>69.963762264356504</v>
      </c>
      <c r="S34" s="2">
        <f>MIN(Tabela134[[#This Row],[Acc turn 1]:[Decel turn 2]])</f>
        <v>69.963762264356504</v>
      </c>
      <c r="T34" s="2">
        <f>Tabela134[[#This Row],[dx]]/Tabela134[[#This Row],[V final]]</f>
        <v>0.71465426360261297</v>
      </c>
      <c r="U34" s="2">
        <f>Tabela134[[#This Row],[V final]]*3.6</f>
        <v>251.86954415168341</v>
      </c>
    </row>
    <row r="35" spans="1:21" x14ac:dyDescent="0.3">
      <c r="A35" s="3">
        <v>20</v>
      </c>
      <c r="B35">
        <v>-112.87</v>
      </c>
      <c r="C35">
        <v>128.71</v>
      </c>
      <c r="D35" t="s">
        <v>9</v>
      </c>
      <c r="E35">
        <f t="shared" si="2"/>
        <v>99.999801999803978</v>
      </c>
      <c r="F35">
        <f t="shared" si="0"/>
        <v>49.999900999901982</v>
      </c>
      <c r="G35">
        <f t="shared" si="3"/>
        <v>49.999900999901996</v>
      </c>
      <c r="H35">
        <f t="shared" si="1"/>
        <v>-1</v>
      </c>
      <c r="I35">
        <f>ACOS(Tabela134[[#This Row],[Cos A]])</f>
        <v>3.1415926535897931</v>
      </c>
      <c r="J35">
        <f>Tabela134[[#This Row],[A rad]]*180/PI()</f>
        <v>180</v>
      </c>
      <c r="K35" t="e">
        <f>E35/(2*SIN(PI()-Tabela134[[#This Row],[A rad]]))</f>
        <v>#DIV/0!</v>
      </c>
      <c r="L35" s="2">
        <f t="shared" si="6"/>
        <v>49.999900999901996</v>
      </c>
      <c r="M35">
        <f>M34+Tabela134[[#This Row],[dx]]</f>
        <v>930.8017304832423</v>
      </c>
      <c r="N35">
        <v>0</v>
      </c>
      <c r="O35" s="2">
        <f t="shared" si="9"/>
        <v>92.214694820080666</v>
      </c>
      <c r="P35" s="2">
        <f t="shared" si="8"/>
        <v>155.46603878845258</v>
      </c>
      <c r="Q35" s="2">
        <f t="shared" si="10"/>
        <v>132.2192772769661</v>
      </c>
      <c r="R35" s="2">
        <f t="shared" si="5"/>
        <v>62.561409611399569</v>
      </c>
      <c r="S35" s="2">
        <f>MIN(Tabela134[[#This Row],[Acc turn 1]:[Decel turn 2]])</f>
        <v>62.561409611399569</v>
      </c>
      <c r="T35" s="2">
        <f>Tabela134[[#This Row],[dx]]/Tabela134[[#This Row],[V final]]</f>
        <v>0.79921314609879424</v>
      </c>
      <c r="U35" s="2">
        <f>Tabela134[[#This Row],[V final]]*3.6</f>
        <v>225.22107460103845</v>
      </c>
    </row>
    <row r="36" spans="1:21" x14ac:dyDescent="0.3">
      <c r="A36" s="3">
        <v>21</v>
      </c>
      <c r="B36">
        <v>-161.88</v>
      </c>
      <c r="C36">
        <v>118.81</v>
      </c>
      <c r="D36" t="s">
        <v>9</v>
      </c>
      <c r="E36">
        <f t="shared" si="2"/>
        <v>99.999801999803964</v>
      </c>
      <c r="F36">
        <f t="shared" si="0"/>
        <v>49.999900999901982</v>
      </c>
      <c r="G36">
        <f t="shared" si="3"/>
        <v>49.999900999901982</v>
      </c>
      <c r="H36">
        <f t="shared" si="1"/>
        <v>-1</v>
      </c>
      <c r="I36">
        <f>ACOS(Tabela134[[#This Row],[Cos A]])</f>
        <v>3.1415926535897931</v>
      </c>
      <c r="J36">
        <f>Tabela134[[#This Row],[A rad]]*180/PI()</f>
        <v>180</v>
      </c>
      <c r="K36" t="e">
        <f>E36/(2*SIN(PI()-Tabela134[[#This Row],[A rad]]))</f>
        <v>#DIV/0!</v>
      </c>
      <c r="L36" s="2">
        <f t="shared" si="6"/>
        <v>49.999900999901982</v>
      </c>
      <c r="M36">
        <f>M35+Tabela134[[#This Row],[dx]]</f>
        <v>980.80163148314432</v>
      </c>
      <c r="N36">
        <v>0</v>
      </c>
      <c r="O36" s="2">
        <f t="shared" si="9"/>
        <v>97.388644093542482</v>
      </c>
      <c r="P36" s="2">
        <f t="shared" si="8"/>
        <v>158.58968211769238</v>
      </c>
      <c r="Q36" s="2">
        <f>SQRT(Q37^2+2*9.81*$B$3*SQRT(($B37-$B36)^2+($C37-$C36)^2))</f>
        <v>128.45598166697093</v>
      </c>
      <c r="R36" s="2">
        <f>SQRT(R37^2+2*9.81*$B$3*SQRT(($B37-$B36)^2+($C37-$C36)^2))</f>
        <v>54.156550065040534</v>
      </c>
      <c r="S36" s="2">
        <f>MIN(Tabela134[[#This Row],[Acc turn 1]:[Decel turn 2]])</f>
        <v>54.156550065040534</v>
      </c>
      <c r="T36" s="2">
        <f>Tabela134[[#This Row],[dx]]/Tabela134[[#This Row],[V final]]</f>
        <v>0.92324752850492631</v>
      </c>
      <c r="U36" s="2">
        <f>Tabela134[[#This Row],[V final]]*3.6</f>
        <v>194.96358023414592</v>
      </c>
    </row>
    <row r="37" spans="1:21" x14ac:dyDescent="0.3">
      <c r="A37" s="3">
        <v>22</v>
      </c>
      <c r="B37">
        <v>-210.89</v>
      </c>
      <c r="C37">
        <v>108.91</v>
      </c>
      <c r="D37" t="s">
        <v>9</v>
      </c>
      <c r="E37">
        <f t="shared" si="2"/>
        <v>99.999801999803964</v>
      </c>
      <c r="F37">
        <f t="shared" si="0"/>
        <v>49.999900999901982</v>
      </c>
      <c r="G37">
        <f t="shared" si="3"/>
        <v>49.999900999901982</v>
      </c>
      <c r="H37">
        <f t="shared" si="1"/>
        <v>-1</v>
      </c>
      <c r="I37">
        <f>ACOS(Tabela134[[#This Row],[Cos A]])</f>
        <v>3.1415926535897931</v>
      </c>
      <c r="J37">
        <f>Tabela134[[#This Row],[A rad]]*180/PI()</f>
        <v>180</v>
      </c>
      <c r="K37" t="e">
        <f>E37/(2*SIN(PI()-Tabela134[[#This Row],[A rad]]))</f>
        <v>#DIV/0!</v>
      </c>
      <c r="L37" s="2">
        <f t="shared" si="6"/>
        <v>49.999900999901982</v>
      </c>
      <c r="M37">
        <f>M36+Tabela134[[#This Row],[dx]]</f>
        <v>1030.8015324830462</v>
      </c>
      <c r="N37">
        <v>0</v>
      </c>
      <c r="O37" s="2">
        <f t="shared" si="9"/>
        <v>102.30125148793032</v>
      </c>
      <c r="P37" s="2">
        <f t="shared" si="8"/>
        <v>161.6529781099278</v>
      </c>
      <c r="Q37" s="2">
        <f t="shared" si="10"/>
        <v>124.57905589787994</v>
      </c>
      <c r="R37" s="2">
        <f t="shared" si="10"/>
        <v>44.180695527901833</v>
      </c>
      <c r="S37" s="2">
        <f>MIN(Tabela134[[#This Row],[Acc turn 1]:[Decel turn 2]])</f>
        <v>44.180695527901833</v>
      </c>
      <c r="T37" s="2">
        <f>Tabela134[[#This Row],[dx]]/Tabela134[[#This Row],[V final]]</f>
        <v>1.1317137587461721</v>
      </c>
      <c r="U37" s="2">
        <f>Tabela134[[#This Row],[V final]]*3.6</f>
        <v>159.05050390044661</v>
      </c>
    </row>
    <row r="38" spans="1:21" x14ac:dyDescent="0.3">
      <c r="A38" s="3">
        <v>23</v>
      </c>
      <c r="B38">
        <v>-259.89999999999998</v>
      </c>
      <c r="C38">
        <v>99.01</v>
      </c>
      <c r="D38" t="s">
        <v>9</v>
      </c>
      <c r="E38">
        <f t="shared" si="2"/>
        <v>94.899249733599035</v>
      </c>
      <c r="F38">
        <f t="shared" si="0"/>
        <v>47.942629256226653</v>
      </c>
      <c r="G38">
        <f t="shared" si="3"/>
        <v>49.999900999901982</v>
      </c>
      <c r="H38">
        <f t="shared" si="1"/>
        <v>-0.87758852526726205</v>
      </c>
      <c r="I38">
        <f>ACOS(Tabela134[[#This Row],[Cos A]])</f>
        <v>2.6416050923196894</v>
      </c>
      <c r="J38">
        <f>Tabela134[[#This Row],[A rad]]*180/PI()</f>
        <v>151.3528229301844</v>
      </c>
      <c r="K38">
        <f>E38/(2*SIN(PI()-Tabela134[[#This Row],[A rad]]))</f>
        <v>98.974087636196501</v>
      </c>
      <c r="L38" s="2">
        <f t="shared" si="6"/>
        <v>49.999900999901982</v>
      </c>
      <c r="M38">
        <f>M37+Tabela134[[#This Row],[dx]]</f>
        <v>1080.8014334829481</v>
      </c>
      <c r="N38">
        <v>0</v>
      </c>
      <c r="O38" s="2">
        <f t="shared" si="9"/>
        <v>106.98852327990532</v>
      </c>
      <c r="P38" s="2">
        <f>SQRT(9.81*$B$3*Tabela134[[#This Row],[R]])</f>
        <v>31.159842742078911</v>
      </c>
      <c r="Q38" s="2">
        <f t="shared" si="10"/>
        <v>120.57753982723739</v>
      </c>
      <c r="R38" s="2">
        <f>SQRT(9.81*$B$3*Tabela134[[#This Row],[R]])</f>
        <v>31.159842742078911</v>
      </c>
      <c r="S38" s="2">
        <f>MIN(Tabela134[[#This Row],[Acc turn 1]:[Decel turn 2]])</f>
        <v>31.159842742078911</v>
      </c>
      <c r="T38" s="2">
        <f>Tabela134[[#This Row],[dx]]/Tabela134[[#This Row],[V final]]</f>
        <v>1.6046262304264154</v>
      </c>
      <c r="U38" s="2">
        <f>Tabela134[[#This Row],[V final]]*3.6</f>
        <v>112.17543387148409</v>
      </c>
    </row>
    <row r="39" spans="1:21" x14ac:dyDescent="0.3">
      <c r="A39" s="3">
        <v>24</v>
      </c>
      <c r="B39">
        <v>-296.58999999999997</v>
      </c>
      <c r="C39">
        <v>68.150000000000006</v>
      </c>
      <c r="D39" t="s">
        <v>10</v>
      </c>
      <c r="E39">
        <f t="shared" si="2"/>
        <v>84.147606620747098</v>
      </c>
      <c r="F39">
        <f t="shared" si="0"/>
        <v>47.946063446335195</v>
      </c>
      <c r="G39">
        <f t="shared" si="3"/>
        <v>47.942629256226653</v>
      </c>
      <c r="H39">
        <f t="shared" si="1"/>
        <v>-0.54020573469477662</v>
      </c>
      <c r="I39">
        <f>ACOS(Tabela134[[#This Row],[Cos A]])</f>
        <v>2.1414778931079272</v>
      </c>
      <c r="J39">
        <f>Tabela134[[#This Row],[A rad]]*180/PI()</f>
        <v>122.69764519565187</v>
      </c>
      <c r="K39">
        <f>E39/(2*SIN(PI()-Tabela134[[#This Row],[A rad]]))</f>
        <v>49.996618171050258</v>
      </c>
      <c r="L39" s="2">
        <f t="shared" si="6"/>
        <v>47.942629256226653</v>
      </c>
      <c r="M39">
        <f>M38+Tabela134[[#This Row],[dx]]</f>
        <v>1128.7440627391748</v>
      </c>
      <c r="N39">
        <v>50</v>
      </c>
      <c r="O39" s="2">
        <f t="shared" si="9"/>
        <v>111.29770213091558</v>
      </c>
      <c r="P39" s="2">
        <f>SQRT(9.81*$B$3*Tabela134[[#This Row],[R]])</f>
        <v>22.146485596094092</v>
      </c>
      <c r="Q39" s="2">
        <f t="shared" si="10"/>
        <v>116.6117863887774</v>
      </c>
      <c r="R39" s="2">
        <f>SQRT(9.81*$B$3*Tabela134[[#This Row],[R]])</f>
        <v>22.146485596094092</v>
      </c>
      <c r="S39" s="2">
        <f>MIN(Tabela134[[#This Row],[Acc turn 1]:[Decel turn 2]])</f>
        <v>22.146485596094092</v>
      </c>
      <c r="T39" s="2">
        <f>Tabela134[[#This Row],[dx]]/Tabela134[[#This Row],[V final]]</f>
        <v>2.1647962629647273</v>
      </c>
      <c r="U39" s="2">
        <f>Tabela134[[#This Row],[V final]]*3.6</f>
        <v>79.727348145938734</v>
      </c>
    </row>
    <row r="40" spans="1:21" x14ac:dyDescent="0.3">
      <c r="A40" s="3">
        <v>25</v>
      </c>
      <c r="B40">
        <v>-290.44</v>
      </c>
      <c r="C40">
        <v>20.6</v>
      </c>
      <c r="D40" t="s">
        <v>10</v>
      </c>
      <c r="E40">
        <f t="shared" si="2"/>
        <v>82.553319739426584</v>
      </c>
      <c r="F40">
        <f t="shared" si="0"/>
        <v>45.384508370147628</v>
      </c>
      <c r="G40">
        <f t="shared" si="3"/>
        <v>47.946063446335195</v>
      </c>
      <c r="H40">
        <f t="shared" si="1"/>
        <v>-0.56444448169905681</v>
      </c>
      <c r="I40">
        <f>ACOS(Tabela134[[#This Row],[Cos A]])</f>
        <v>2.1705564541299482</v>
      </c>
      <c r="J40">
        <f>Tabela134[[#This Row],[A rad]]*180/PI()</f>
        <v>124.36372401652731</v>
      </c>
      <c r="K40">
        <f>E40/(2*SIN(PI()-Tabela134[[#This Row],[A rad]]))</f>
        <v>50.00376536141065</v>
      </c>
      <c r="L40" s="2">
        <f t="shared" si="6"/>
        <v>47.946063446335195</v>
      </c>
      <c r="M40">
        <f>M39+Tabela134[[#This Row],[dx]]</f>
        <v>1176.6901261855101</v>
      </c>
      <c r="N40">
        <v>50</v>
      </c>
      <c r="O40" s="2">
        <f t="shared" si="9"/>
        <v>115.4464389422173</v>
      </c>
      <c r="P40" s="2">
        <f>SQRT(9.81*$B$3*Tabela134[[#This Row],[R]])</f>
        <v>22.148068498075368</v>
      </c>
      <c r="Q40" s="2">
        <f t="shared" si="10"/>
        <v>112.50603077153133</v>
      </c>
      <c r="R40" s="2">
        <f>SQRT(9.81*$B$3*Tabela134[[#This Row],[R]])</f>
        <v>22.148068498075368</v>
      </c>
      <c r="S40" s="2">
        <f>MIN(Tabela134[[#This Row],[Acc turn 1]:[Decel turn 2]])</f>
        <v>22.148068498075368</v>
      </c>
      <c r="T40" s="2">
        <f>Tabela134[[#This Row],[dx]]/Tabela134[[#This Row],[V final]]</f>
        <v>2.1647966029408674</v>
      </c>
      <c r="U40" s="2">
        <f>Tabela134[[#This Row],[V final]]*3.6</f>
        <v>79.733046593071322</v>
      </c>
    </row>
    <row r="41" spans="1:21" x14ac:dyDescent="0.3">
      <c r="A41" s="3">
        <v>26</v>
      </c>
      <c r="B41">
        <v>-250</v>
      </c>
      <c r="C41">
        <v>0</v>
      </c>
      <c r="D41" t="s">
        <v>11</v>
      </c>
      <c r="E41">
        <f t="shared" si="2"/>
        <v>92.756420802012414</v>
      </c>
      <c r="F41">
        <f t="shared" si="0"/>
        <v>50</v>
      </c>
      <c r="G41">
        <f t="shared" si="3"/>
        <v>45.384508370147628</v>
      </c>
      <c r="H41">
        <f t="shared" si="1"/>
        <v>-0.89105294851227379</v>
      </c>
      <c r="I41">
        <f>ACOS(Tabela134[[#This Row],[Cos A]])</f>
        <v>2.6704560241747313</v>
      </c>
      <c r="J41">
        <f>Tabela134[[#This Row],[A rad]]*180/PI()</f>
        <v>153.00585956049784</v>
      </c>
      <c r="K41">
        <f>E41/(2*SIN(PI()-Tabela134[[#This Row],[A rad]]))</f>
        <v>102.17729505519115</v>
      </c>
      <c r="L41" s="2">
        <f t="shared" si="6"/>
        <v>45.384508370147628</v>
      </c>
      <c r="M41">
        <f>M40+Tabela134[[#This Row],[dx]]</f>
        <v>1222.0746345556577</v>
      </c>
      <c r="N41">
        <v>0</v>
      </c>
      <c r="O41" s="2">
        <f t="shared" si="9"/>
        <v>119.2406152225885</v>
      </c>
      <c r="P41" s="2">
        <f>SQRT(9.81*$B$3*Tabela134[[#This Row],[R]])</f>
        <v>31.660057872521733</v>
      </c>
      <c r="Q41" s="2">
        <f t="shared" si="10"/>
        <v>108.4765546362091</v>
      </c>
      <c r="R41" s="2">
        <f>SQRT(9.81*$B$3*Tabela134[[#This Row],[R]])</f>
        <v>31.660057872521733</v>
      </c>
      <c r="S41" s="2">
        <f>MIN(Tabela134[[#This Row],[Acc turn 1]:[Decel turn 2]])</f>
        <v>31.660057872521733</v>
      </c>
      <c r="T41" s="2">
        <f>Tabela134[[#This Row],[dx]]/Tabela134[[#This Row],[V final]]</f>
        <v>1.4334941696217669</v>
      </c>
      <c r="U41" s="2">
        <f>Tabela134[[#This Row],[V final]]*3.6</f>
        <v>113.97620834107825</v>
      </c>
    </row>
    <row r="42" spans="1:21" x14ac:dyDescent="0.3">
      <c r="A42" s="3">
        <v>27</v>
      </c>
      <c r="B42">
        <v>-200</v>
      </c>
      <c r="C42">
        <v>0</v>
      </c>
      <c r="D42" t="s">
        <v>11</v>
      </c>
      <c r="E42">
        <f t="shared" si="2"/>
        <v>100</v>
      </c>
      <c r="F42">
        <f t="shared" si="0"/>
        <v>50</v>
      </c>
      <c r="G42">
        <f t="shared" si="3"/>
        <v>50</v>
      </c>
      <c r="H42">
        <f t="shared" si="1"/>
        <v>-1</v>
      </c>
      <c r="I42">
        <f>ACOS(Tabela134[[#This Row],[Cos A]])</f>
        <v>3.1415926535897931</v>
      </c>
      <c r="J42">
        <f>Tabela134[[#This Row],[A rad]]*180/PI()</f>
        <v>180</v>
      </c>
      <c r="K42" t="e">
        <f>E42/(2*SIN(PI()-Tabela134[[#This Row],[A rad]]))</f>
        <v>#DIV/0!</v>
      </c>
      <c r="L42" s="2">
        <f t="shared" si="6"/>
        <v>50</v>
      </c>
      <c r="M42">
        <f>M41+Tabela134[[#This Row],[dx]]</f>
        <v>1272.0746345556577</v>
      </c>
      <c r="N42">
        <v>0</v>
      </c>
      <c r="O42" s="2">
        <f>SQRT(O41^2+2*9.81*$B$3*SQRT(($B42-$B41)^2+($C42-$C41)^2))</f>
        <v>123.28553977925151</v>
      </c>
      <c r="P42" s="2">
        <f>SQRT(P41^2+2*9.81*$B$3*SQRT(($B42-$B41)^2+($C42-$C41)^2))</f>
        <v>44.53492185343346</v>
      </c>
      <c r="Q42" s="2">
        <f t="shared" si="10"/>
        <v>103.85645336589566</v>
      </c>
      <c r="R42" s="2">
        <f>SQRT(R43^2+2*9.81*$B$3*SQRT(($B43-$B42)^2+($C43-$C42)^2))</f>
        <v>161.55574865861794</v>
      </c>
      <c r="S42" s="2">
        <f>MIN(Tabela134[[#This Row],[Acc turn 1]:[Decel turn 2]])</f>
        <v>44.53492185343346</v>
      </c>
      <c r="T42" s="2">
        <f>Tabela134[[#This Row],[dx]]/Tabela134[[#This Row],[V final]]</f>
        <v>1.1227144433878737</v>
      </c>
      <c r="U42" s="2">
        <f>Tabela134[[#This Row],[V final]]*3.6</f>
        <v>160.32571867236047</v>
      </c>
    </row>
    <row r="43" spans="1:21" x14ac:dyDescent="0.3">
      <c r="A43" s="3">
        <v>28</v>
      </c>
      <c r="B43">
        <v>-150</v>
      </c>
      <c r="C43">
        <v>0</v>
      </c>
      <c r="D43" t="s">
        <v>11</v>
      </c>
      <c r="E43">
        <f t="shared" si="2"/>
        <v>100</v>
      </c>
      <c r="F43">
        <f t="shared" si="0"/>
        <v>50</v>
      </c>
      <c r="G43">
        <f t="shared" si="3"/>
        <v>50</v>
      </c>
      <c r="H43">
        <f t="shared" si="1"/>
        <v>-1</v>
      </c>
      <c r="I43">
        <f>ACOS(Tabela134[[#This Row],[Cos A]])</f>
        <v>3.1415926535897931</v>
      </c>
      <c r="J43">
        <f>Tabela134[[#This Row],[A rad]]*180/PI()</f>
        <v>180</v>
      </c>
      <c r="K43" t="e">
        <f>E43/(2*SIN(PI()-Tabela134[[#This Row],[A rad]]))</f>
        <v>#DIV/0!</v>
      </c>
      <c r="L43" s="2">
        <f t="shared" si="6"/>
        <v>50</v>
      </c>
      <c r="M43">
        <f>M42+Tabela134[[#This Row],[dx]]</f>
        <v>1322.0746345556577</v>
      </c>
      <c r="N43">
        <v>0</v>
      </c>
      <c r="O43" s="2">
        <f t="shared" si="9"/>
        <v>127.20190375407675</v>
      </c>
      <c r="P43" s="2">
        <f t="shared" ref="P43:P46" si="11">SQRT(P42^2+2*9.81*$B$3*SQRT(($B43-$B42)^2+($C43-$C42)^2))</f>
        <v>54.445929733005983</v>
      </c>
      <c r="Q43" s="2">
        <f t="shared" si="10"/>
        <v>99.021022544419623</v>
      </c>
      <c r="R43" s="2">
        <f t="shared" si="10"/>
        <v>158.49056730495519</v>
      </c>
      <c r="S43" s="2">
        <f>MIN(Tabela134[[#This Row],[Acc turn 1]:[Decel turn 2]])</f>
        <v>54.445929733005983</v>
      </c>
      <c r="T43" s="2">
        <f>Tabela134[[#This Row],[dx]]/Tabela134[[#This Row],[V final]]</f>
        <v>0.91834229381685462</v>
      </c>
      <c r="U43" s="2">
        <f>Tabela134[[#This Row],[V final]]*3.6</f>
        <v>196.00534703882155</v>
      </c>
    </row>
    <row r="44" spans="1:21" x14ac:dyDescent="0.3">
      <c r="A44" s="3">
        <v>29</v>
      </c>
      <c r="B44">
        <v>-100</v>
      </c>
      <c r="C44">
        <v>0</v>
      </c>
      <c r="D44" t="s">
        <v>11</v>
      </c>
      <c r="E44">
        <f t="shared" si="2"/>
        <v>100</v>
      </c>
      <c r="F44">
        <f t="shared" si="0"/>
        <v>50</v>
      </c>
      <c r="G44">
        <f t="shared" si="3"/>
        <v>50</v>
      </c>
      <c r="H44">
        <f t="shared" si="1"/>
        <v>-1</v>
      </c>
      <c r="I44">
        <f>ACOS(Tabela134[[#This Row],[Cos A]])</f>
        <v>3.1415926535897931</v>
      </c>
      <c r="J44">
        <f>Tabela134[[#This Row],[A rad]]*180/PI()</f>
        <v>180</v>
      </c>
      <c r="K44" t="e">
        <f>E44/(2*SIN(PI()-Tabela134[[#This Row],[A rad]]))</f>
        <v>#DIV/0!</v>
      </c>
      <c r="L44" s="2">
        <f t="shared" si="6"/>
        <v>50</v>
      </c>
      <c r="M44">
        <f>M43+Tabela134[[#This Row],[dx]]</f>
        <v>1372.0746345556577</v>
      </c>
      <c r="N44">
        <v>0</v>
      </c>
      <c r="O44" s="2">
        <f t="shared" si="9"/>
        <v>131.00123785163791</v>
      </c>
      <c r="P44" s="2">
        <f t="shared" si="11"/>
        <v>62.81209489016765</v>
      </c>
      <c r="Q44" s="2">
        <f t="shared" si="10"/>
        <v>93.937015631445618</v>
      </c>
      <c r="R44" s="2">
        <f t="shared" si="10"/>
        <v>155.36492501413093</v>
      </c>
      <c r="S44" s="2">
        <f>MIN(Tabela134[[#This Row],[Acc turn 1]:[Decel turn 2]])</f>
        <v>62.81209489016765</v>
      </c>
      <c r="T44" s="2">
        <f>Tabela134[[#This Row],[dx]]/Tabela134[[#This Row],[V final]]</f>
        <v>0.79602503446874839</v>
      </c>
      <c r="U44" s="2">
        <f>Tabela134[[#This Row],[V final]]*3.6</f>
        <v>226.12354160460353</v>
      </c>
    </row>
    <row r="45" spans="1:21" x14ac:dyDescent="0.3">
      <c r="A45" s="3">
        <v>30</v>
      </c>
      <c r="B45">
        <v>-50</v>
      </c>
      <c r="C45">
        <v>0</v>
      </c>
      <c r="D45" t="s">
        <v>11</v>
      </c>
      <c r="E45">
        <f t="shared" si="2"/>
        <v>100</v>
      </c>
      <c r="F45">
        <f t="shared" si="0"/>
        <v>50</v>
      </c>
      <c r="G45">
        <f t="shared" si="3"/>
        <v>50</v>
      </c>
      <c r="H45">
        <f t="shared" si="1"/>
        <v>-1</v>
      </c>
      <c r="I45">
        <f>ACOS(Tabela134[[#This Row],[Cos A]])</f>
        <v>3.1415926535897931</v>
      </c>
      <c r="J45">
        <f>Tabela134[[#This Row],[A rad]]*180/PI()</f>
        <v>180</v>
      </c>
      <c r="K45" t="e">
        <f>E45/(2*SIN(PI()-Tabela134[[#This Row],[A rad]]))</f>
        <v>#DIV/0!</v>
      </c>
      <c r="L45" s="2">
        <f t="shared" si="6"/>
        <v>50</v>
      </c>
      <c r="M45">
        <f>M44+Tabela134[[#This Row],[dx]]</f>
        <v>1422.0746345556577</v>
      </c>
      <c r="N45">
        <v>0</v>
      </c>
      <c r="O45" s="2">
        <f t="shared" si="9"/>
        <v>134.69344571530348</v>
      </c>
      <c r="P45" s="2">
        <f t="shared" si="11"/>
        <v>70.188027928496652</v>
      </c>
      <c r="Q45" s="2">
        <f t="shared" si="10"/>
        <v>88.561633373275455</v>
      </c>
      <c r="R45" s="2">
        <f t="shared" si="10"/>
        <v>152.17509626954907</v>
      </c>
      <c r="S45" s="2">
        <f>MIN(Tabela134[[#This Row],[Acc turn 1]:[Decel turn 2]])</f>
        <v>70.188027928496652</v>
      </c>
      <c r="T45" s="2">
        <f>Tabela134[[#This Row],[dx]]/Tabela134[[#This Row],[V final]]</f>
        <v>0.71237220186520978</v>
      </c>
      <c r="U45" s="2">
        <f>Tabela134[[#This Row],[V final]]*3.6</f>
        <v>252.67690054258796</v>
      </c>
    </row>
    <row r="46" spans="1:21" x14ac:dyDescent="0.3">
      <c r="A46" s="3">
        <v>31</v>
      </c>
      <c r="B46">
        <v>0</v>
      </c>
      <c r="C46">
        <v>0</v>
      </c>
      <c r="D46" t="s">
        <v>11</v>
      </c>
      <c r="E46">
        <f t="shared" si="2"/>
        <v>50</v>
      </c>
      <c r="F46">
        <f t="shared" si="0"/>
        <v>0</v>
      </c>
      <c r="G46">
        <f t="shared" si="3"/>
        <v>50</v>
      </c>
      <c r="H46" t="e">
        <f t="shared" si="1"/>
        <v>#DIV/0!</v>
      </c>
      <c r="I46" t="e">
        <f>ACOS(Tabela134[[#This Row],[Cos A]])</f>
        <v>#DIV/0!</v>
      </c>
      <c r="J46" t="e">
        <f>Tabela134[[#This Row],[A rad]]*180/PI()</f>
        <v>#DIV/0!</v>
      </c>
      <c r="K46" t="e">
        <f>E46/(2*SIN(PI()-Tabela134[[#This Row],[A rad]]))</f>
        <v>#DIV/0!</v>
      </c>
      <c r="L46" s="2">
        <f t="shared" si="6"/>
        <v>50</v>
      </c>
      <c r="M46">
        <f>M45+Tabela134[[#This Row],[dx]]</f>
        <v>1472.0746345556577</v>
      </c>
      <c r="N46">
        <v>0</v>
      </c>
      <c r="O46" s="2">
        <f t="shared" si="9"/>
        <v>138.28710828801579</v>
      </c>
      <c r="P46" s="2">
        <f t="shared" si="11"/>
        <v>76.859347281195582</v>
      </c>
      <c r="Q46" s="2">
        <f>SQRT(Q16^2+2*9.81*$B$3*SQRT(($B16-$B46)^2+($C16-$C46)^2))</f>
        <v>82.838172998578727</v>
      </c>
      <c r="R46" s="2">
        <f>SQRT(R16^2+2*9.81*$B$3*SQRT(($B16-$B46)^2+($C16-$C46)^2))</f>
        <v>148.9169564712042</v>
      </c>
      <c r="S46" s="2">
        <f>MIN(Tabela134[[#This Row],[Acc turn 1]:[Decel turn 2]])</f>
        <v>76.859347281195582</v>
      </c>
      <c r="T46" s="2">
        <f>Tabela134[[#This Row],[dx]]/Tabela134[[#This Row],[V final]]</f>
        <v>0.65053896199601224</v>
      </c>
      <c r="U46" s="2">
        <f>Tabela134[[#This Row],[V final]]*3.6</f>
        <v>276.69365021230408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38C2-59A9-4414-97FE-FC43E3AB9937}">
  <dimension ref="A3:E34"/>
  <sheetViews>
    <sheetView workbookViewId="0">
      <selection activeCell="J26" sqref="J26"/>
    </sheetView>
  </sheetViews>
  <sheetFormatPr defaultRowHeight="14.4" x14ac:dyDescent="0.3"/>
  <sheetData>
    <row r="3" spans="1:5" x14ac:dyDescent="0.3">
      <c r="A3" t="s">
        <v>20</v>
      </c>
      <c r="B3" t="s">
        <v>21</v>
      </c>
    </row>
    <row r="4" spans="1:5" x14ac:dyDescent="0.3">
      <c r="A4">
        <v>103.87973815908472</v>
      </c>
      <c r="B4">
        <v>0</v>
      </c>
      <c r="D4">
        <v>108.69553132021045</v>
      </c>
      <c r="E4">
        <v>0</v>
      </c>
    </row>
    <row r="5" spans="1:5" x14ac:dyDescent="0.3">
      <c r="A5">
        <v>99.045444115315064</v>
      </c>
      <c r="B5">
        <v>0.50481877734615221</v>
      </c>
      <c r="D5">
        <v>108.45425676977791</v>
      </c>
      <c r="E5">
        <v>0.46102385917537453</v>
      </c>
    </row>
    <row r="6" spans="1:5" x14ac:dyDescent="0.3">
      <c r="A6">
        <v>88.588938361400395</v>
      </c>
      <c r="B6">
        <v>0.56440455123216371</v>
      </c>
      <c r="D6">
        <v>98.996594948942146</v>
      </c>
      <c r="E6">
        <v>0.5050678765849238</v>
      </c>
    </row>
    <row r="7" spans="1:5" x14ac:dyDescent="0.3">
      <c r="A7">
        <v>76.720271115266527</v>
      </c>
      <c r="B7">
        <v>0.6517182391714792</v>
      </c>
      <c r="D7">
        <v>88.534319963982995</v>
      </c>
      <c r="E7">
        <v>0.56475274244316442</v>
      </c>
    </row>
    <row r="8" spans="1:5" x14ac:dyDescent="0.3">
      <c r="A8">
        <v>62.641839053463301</v>
      </c>
      <c r="B8">
        <v>0.79818857101762619</v>
      </c>
      <c r="D8">
        <v>76.657196736411635</v>
      </c>
      <c r="E8">
        <v>0.6522544800578437</v>
      </c>
    </row>
    <row r="9" spans="1:5" x14ac:dyDescent="0.3">
      <c r="A9">
        <v>44.294469180700204</v>
      </c>
      <c r="B9">
        <v>1.1288091024643272</v>
      </c>
      <c r="D9">
        <v>62.564573134361886</v>
      </c>
      <c r="E9">
        <v>0.79917431695124697</v>
      </c>
    </row>
    <row r="10" spans="1:5" x14ac:dyDescent="0.3">
      <c r="A10">
        <v>44.294469180700204</v>
      </c>
      <c r="B10">
        <v>1.1288091024643272</v>
      </c>
      <c r="D10">
        <v>44.294138272609402</v>
      </c>
      <c r="E10">
        <v>1.1170858863772355</v>
      </c>
    </row>
    <row r="11" spans="1:5" x14ac:dyDescent="0.3">
      <c r="A11">
        <v>44.294469180700204</v>
      </c>
      <c r="B11">
        <v>1.1288091024643272</v>
      </c>
      <c r="D11">
        <v>44.292388044030979</v>
      </c>
      <c r="E11">
        <v>1.1172182331781417</v>
      </c>
    </row>
    <row r="12" spans="1:5" x14ac:dyDescent="0.3">
      <c r="A12">
        <v>44.294469180700204</v>
      </c>
      <c r="B12">
        <v>1.1288091024643272</v>
      </c>
      <c r="D12">
        <v>44.294637078385449</v>
      </c>
      <c r="E12">
        <v>1.1171408088532793</v>
      </c>
    </row>
    <row r="13" spans="1:5" x14ac:dyDescent="0.3">
      <c r="A13">
        <v>44.294469180700204</v>
      </c>
      <c r="B13">
        <v>1.1288091024643272</v>
      </c>
      <c r="D13">
        <v>44.295754292757266</v>
      </c>
      <c r="E13">
        <v>1.1168692558706834</v>
      </c>
    </row>
    <row r="14" spans="1:5" x14ac:dyDescent="0.3">
      <c r="A14">
        <v>44.294469180700204</v>
      </c>
      <c r="B14">
        <v>1.1288091024643272</v>
      </c>
      <c r="D14">
        <v>44.292591906941766</v>
      </c>
      <c r="E14">
        <v>1.1171045132316171</v>
      </c>
    </row>
    <row r="15" spans="1:5" x14ac:dyDescent="0.3">
      <c r="A15">
        <v>44.294469180700204</v>
      </c>
      <c r="B15">
        <v>1.1288091024643272</v>
      </c>
      <c r="D15">
        <v>44.300906060375034</v>
      </c>
      <c r="E15">
        <v>1.1287341341559627</v>
      </c>
    </row>
    <row r="16" spans="1:5" x14ac:dyDescent="0.3">
      <c r="A16">
        <v>44.294469180700204</v>
      </c>
      <c r="B16">
        <v>0.76759018967574244</v>
      </c>
      <c r="D16">
        <v>57.210570193051716</v>
      </c>
      <c r="E16">
        <v>0.58374720237960731</v>
      </c>
    </row>
    <row r="17" spans="1:5" x14ac:dyDescent="0.3">
      <c r="A17">
        <v>62.641839053463301</v>
      </c>
      <c r="B17">
        <v>0.79818857101762619</v>
      </c>
      <c r="D17">
        <v>72.353613987486838</v>
      </c>
      <c r="E17">
        <v>0.69104911619963016</v>
      </c>
    </row>
    <row r="18" spans="1:5" x14ac:dyDescent="0.3">
      <c r="A18">
        <v>76.720271115266527</v>
      </c>
      <c r="B18">
        <v>0.6517182391714792</v>
      </c>
      <c r="D18">
        <v>84.835379248792208</v>
      </c>
      <c r="E18">
        <v>0.58937558177549876</v>
      </c>
    </row>
    <row r="19" spans="1:5" x14ac:dyDescent="0.3">
      <c r="A19">
        <v>88.588938361400395</v>
      </c>
      <c r="B19">
        <v>0.56440455123216371</v>
      </c>
      <c r="D19">
        <v>95.702861438530448</v>
      </c>
      <c r="E19">
        <v>0.52244938394048668</v>
      </c>
    </row>
    <row r="20" spans="1:5" x14ac:dyDescent="0.3">
      <c r="A20">
        <v>99.045444115315064</v>
      </c>
      <c r="B20">
        <v>0.50481877734615221</v>
      </c>
      <c r="D20">
        <v>105.45631229451706</v>
      </c>
      <c r="E20">
        <v>0.47412904843726095</v>
      </c>
    </row>
    <row r="21" spans="1:5" x14ac:dyDescent="0.3">
      <c r="A21">
        <v>103.87973815908472</v>
      </c>
      <c r="B21">
        <v>0.4813258185482564</v>
      </c>
      <c r="D21">
        <v>108.40596005572269</v>
      </c>
      <c r="E21">
        <v>0.46124661355224555</v>
      </c>
    </row>
    <row r="22" spans="1:5" x14ac:dyDescent="0.3">
      <c r="A22">
        <v>93.962758580194958</v>
      </c>
      <c r="B22">
        <v>0.53212571401175068</v>
      </c>
      <c r="D22">
        <v>98.943701468899931</v>
      </c>
      <c r="E22">
        <v>0.50533687599728616</v>
      </c>
    </row>
    <row r="23" spans="1:5" x14ac:dyDescent="0.3">
      <c r="A23">
        <v>82.867363901598807</v>
      </c>
      <c r="B23">
        <v>0.60337384521333037</v>
      </c>
      <c r="D23">
        <v>88.475193953619765</v>
      </c>
      <c r="E23">
        <v>0.56512903521989244</v>
      </c>
    </row>
    <row r="24" spans="1:5" x14ac:dyDescent="0.3">
      <c r="A24">
        <v>70.035705179572517</v>
      </c>
      <c r="B24">
        <v>0.71392156146353214</v>
      </c>
      <c r="D24">
        <v>76.588927593317834</v>
      </c>
      <c r="E24">
        <v>0.65283458811955386</v>
      </c>
    </row>
    <row r="25" spans="1:5" x14ac:dyDescent="0.3">
      <c r="A25">
        <v>54.249423960075376</v>
      </c>
      <c r="B25">
        <v>0.92166877268221836</v>
      </c>
      <c r="D25">
        <v>62.480938810635109</v>
      </c>
      <c r="E25">
        <v>0.80024247317153496</v>
      </c>
    </row>
    <row r="26" spans="1:5" x14ac:dyDescent="0.3">
      <c r="A26">
        <v>31.32091952673165</v>
      </c>
      <c r="B26">
        <v>1.5963771420352524</v>
      </c>
      <c r="D26">
        <v>44.066672207260844</v>
      </c>
      <c r="E26">
        <v>1.134642088804326</v>
      </c>
    </row>
    <row r="27" spans="1:5" x14ac:dyDescent="0.3">
      <c r="A27">
        <v>31.32091952673165</v>
      </c>
      <c r="B27">
        <v>1.5963771420352524</v>
      </c>
      <c r="D27">
        <v>31.319860288896663</v>
      </c>
      <c r="E27">
        <v>1.5307421174296552</v>
      </c>
    </row>
    <row r="28" spans="1:5" x14ac:dyDescent="0.3">
      <c r="A28">
        <v>31.32091952673165</v>
      </c>
      <c r="B28">
        <v>1.5963771420352524</v>
      </c>
      <c r="D28">
        <v>31.322098850346492</v>
      </c>
      <c r="E28">
        <v>1.5307423578290893</v>
      </c>
    </row>
    <row r="29" spans="1:5" x14ac:dyDescent="0.3">
      <c r="A29">
        <v>31.32091952673165</v>
      </c>
      <c r="B29">
        <v>1.5005945135131371</v>
      </c>
      <c r="D29">
        <v>44.774083228837313</v>
      </c>
      <c r="E29">
        <v>1.0136334481309304</v>
      </c>
    </row>
    <row r="30" spans="1:5" x14ac:dyDescent="0.3">
      <c r="A30">
        <v>54.249423960075376</v>
      </c>
      <c r="B30">
        <v>0.92166877268221836</v>
      </c>
      <c r="D30">
        <v>62.981890484351538</v>
      </c>
      <c r="E30">
        <v>0.79387899625564562</v>
      </c>
    </row>
    <row r="31" spans="1:5" x14ac:dyDescent="0.3">
      <c r="A31">
        <v>70.035705179572517</v>
      </c>
      <c r="B31">
        <v>0.71392156146353214</v>
      </c>
      <c r="D31">
        <v>76.998172244429611</v>
      </c>
      <c r="E31">
        <v>0.64936606340830672</v>
      </c>
    </row>
    <row r="32" spans="1:5" x14ac:dyDescent="0.3">
      <c r="A32">
        <v>82.867363901598807</v>
      </c>
      <c r="B32">
        <v>0.60337384521333037</v>
      </c>
      <c r="D32">
        <v>88.829716474740877</v>
      </c>
      <c r="E32">
        <v>0.56287469986710725</v>
      </c>
    </row>
    <row r="33" spans="1:5" x14ac:dyDescent="0.3">
      <c r="A33">
        <v>93.962758580194958</v>
      </c>
      <c r="B33">
        <v>0.53212571401175068</v>
      </c>
      <c r="D33">
        <v>99.26086101270154</v>
      </c>
      <c r="E33">
        <v>0.503723214667682</v>
      </c>
    </row>
    <row r="34" spans="1:5" x14ac:dyDescent="0.3">
      <c r="A34">
        <v>103.87973815908472</v>
      </c>
      <c r="B34">
        <v>0.4813258185482564</v>
      </c>
      <c r="D34">
        <v>108.69553132021045</v>
      </c>
      <c r="E34">
        <v>0.46000051145343807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b l F U Q W D D 7 G j A A A A 9 Q A A A B I A H A B D b 2 5 m a W c v U G F j a 2 F n Z S 5 4 b W w g o h g A K K A U A A A A A A A A A A A A A A A A A A A A A A A A A A A A h Y 8 x D o I w G I W v Q r r T l u p A y E 9 J d J X E a G J c m 1 K h E Q q h x X I 3 B 4 / k F c Q o 6 u b 4 3 v c N 7 9 2 v N 8 j G p g 4 u q r e 6 N S m K M E W B M r I t t C l T N L h T G K O M w 1 b I s y h V M M n G J q M t U l Q 5 1 y W E e O + x X + C 2 L w m j N C L H f L O X l W o E + s j 6 v x x q Y 5 0 w U i E O h 9 c Y z n C 8 x D G d J g G Z O 8 i 1 + X I 2 s S f 9 K W E 9 1 G 7 o F e 9 c u N o B m S O Q 9 w X + A F B L A w Q U A A I A C A B R u U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b l F U S i K R 7 g O A A A A E Q A A A B M A H A B G b 3 J t d W x h c y 9 T Z W N 0 a W 9 u M S 5 t I K I Y A C i g F A A A A A A A A A A A A A A A A A A A A A A A A A A A A C t O T S 7 J z M 9 T C I b Q h t Y A U E s B A i 0 A F A A C A A g A U b l F U Q W D D 7 G j A A A A 9 Q A A A B I A A A A A A A A A A A A A A A A A A A A A A E N v b m Z p Z y 9 Q Y W N r Y W d l L n h t b F B L A Q I t A B Q A A g A I A F G 5 R V E P y u m r p A A A A O k A A A A T A A A A A A A A A A A A A A A A A O 8 A A A B b Q 2 9 u d G V u d F 9 U e X B l c 1 0 u e G 1 s U E s B A i 0 A F A A C A A g A U b l F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r V 6 Y T 6 N c 5 L h l t 2 M s M T Z k g A A A A A A g A A A A A A E G Y A A A A B A A A g A A A A p E i f T Q 4 k g N 1 7 N I o H a c 5 A + 3 Z 3 q 5 r 5 T e M 2 k O n o c W 5 T 7 n w A A A A A D o A A A A A C A A A g A A A A g e R t s x R h 0 U 1 c R Z 4 m d 7 Y 6 V m 7 3 2 z f z h m k R N 2 S p w g M + i F F Q A A A A j t 3 i g n Z F j + 9 a Y W f J 4 N 6 x T s b y n J a R Y F w Y I E w g 3 0 k i c b 9 Z H a v R u 6 f 3 G Q D D t 9 K 9 6 B O f t F H e f 7 e B Q F p 9 7 o / I 1 4 f 5 K G N 5 i c J / l s J 6 U p S R a K H x D K d A A A A A Q x y 1 G e R A Q v I y J d x 6 s m d w V Y 0 j 8 W h L o L s V 0 N 0 g Q i / n 3 z 0 s 6 Y 2 g c x I I b T x e I Q S M B Q C R k B S s 5 n 4 S L 0 e Y f d T O 0 l 0 6 h g = = < / D a t a M a s h u p > 
</file>

<file path=customXml/itemProps1.xml><?xml version="1.0" encoding="utf-8"?>
<ds:datastoreItem xmlns:ds="http://schemas.openxmlformats.org/officeDocument/2006/customXml" ds:itemID="{FF91FC70-FC3C-4233-8899-83ED04F7C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 1</vt:lpstr>
      <vt:lpstr>model 2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guilherme bezerra alves</dc:creator>
  <cp:lastModifiedBy>joao guilherme bezerra alves</cp:lastModifiedBy>
  <dcterms:created xsi:type="dcterms:W3CDTF">2020-10-01T22:37:39Z</dcterms:created>
  <dcterms:modified xsi:type="dcterms:W3CDTF">2020-10-14T19:35:29Z</dcterms:modified>
</cp:coreProperties>
</file>