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https://d.docs.live.net/e812b48308fb7299/Job/Portfolio/"/>
    </mc:Choice>
  </mc:AlternateContent>
  <xr:revisionPtr revIDLastSave="76" documentId="13_ncr:4000b_{0E7936CA-88CF-4DCD-97CB-D65D0DA6095E}" xr6:coauthVersionLast="45" xr6:coauthVersionMax="45" xr10:uidLastSave="{719B18F7-68C4-4182-92EF-949258BA1907}"/>
  <bookViews>
    <workbookView xWindow="23385" yWindow="960" windowWidth="23505" windowHeight="14235" tabRatio="589" firstSheet="1" activeTab="2" xr2:uid="{00000000-000D-0000-FFFF-FFFF00000000}"/>
  </bookViews>
  <sheets>
    <sheet name="Formula" sheetId="8" r:id="rId1"/>
    <sheet name="AssumLegend" sheetId="12" r:id="rId2"/>
    <sheet name="Assumptions" sheetId="4" r:id="rId3"/>
    <sheet name="01Retirees" sheetId="10" r:id="rId4"/>
    <sheet name="SumCalc_01-02" sheetId="7" r:id="rId5"/>
    <sheet name="LegendSumCalc" sheetId="14" r:id="rId6"/>
    <sheet name="Detail_01-02" sheetId="6" r:id="rId7"/>
    <sheet name="Check" sheetId="5" r:id="rId8"/>
  </sheets>
  <definedNames>
    <definedName name="_Age1" localSheetId="4">'SumCalc_01-02'!$P$6:$S$7</definedName>
    <definedName name="_Age1">#REF!</definedName>
    <definedName name="_Age2" localSheetId="4">'SumCalc_01-02'!$P$8:$S$9</definedName>
    <definedName name="_Age2">#REF!</definedName>
    <definedName name="_Age8" localSheetId="4">'SumCalc_01-02'!$P$20:$S$21</definedName>
    <definedName name="_Age8">#REF!</definedName>
    <definedName name="NotRetired">#REF!</definedName>
    <definedName name="NotRetired0102">'Detail_01-02'!$A$4:$S$105</definedName>
    <definedName name="_xlnm.Print_Area" localSheetId="3">'01Retirees'!$A$1:$L$40</definedName>
    <definedName name="_xlnm.Print_Area" localSheetId="1">AssumLegend!$A$1:$D$18</definedName>
    <definedName name="_xlnm.Print_Area" localSheetId="2">Assumptions!$A$1:$N$46</definedName>
    <definedName name="_xlnm.Print_Area" localSheetId="6">'Detail_01-02'!$D$5:$AH$238</definedName>
    <definedName name="_xlnm.Print_Area" localSheetId="5">LegendSumCalc!$A$1:$C$19</definedName>
    <definedName name="_xlnm.Print_Area" localSheetId="4">'SumCalc_01-02'!$A$7:$N$56</definedName>
    <definedName name="_xlnm.Print_Titles" localSheetId="6">'Detail_01-02'!$D:$D,'Detail_01-02'!$1:$4</definedName>
    <definedName name="_xlnm.Print_Titles" localSheetId="4">'SumCalc_01-02'!$1:$6</definedName>
    <definedName name="Tier1" localSheetId="4">'SumCalc_01-02'!$P$6:$Q$7</definedName>
    <definedName name="Tier1">#REF!</definedName>
    <definedName name="Tier10" localSheetId="4">'SumCalc_01-02'!$P$24:$Q$25</definedName>
    <definedName name="Tier10">#REF!</definedName>
    <definedName name="Tier11" localSheetId="4">'SumCalc_01-02'!$P$26:$Q$27</definedName>
    <definedName name="Tier11">#REF!</definedName>
    <definedName name="Tier2" localSheetId="4">'SumCalc_01-02'!$P$8:$Q$9</definedName>
    <definedName name="Tier2">#REF!</definedName>
    <definedName name="Tier3" localSheetId="4">'SumCalc_01-02'!$P$10:$Q$11</definedName>
    <definedName name="Tier3">#REF!</definedName>
    <definedName name="Tier4" localSheetId="4">'SumCalc_01-02'!$P$12:$Q$13</definedName>
    <definedName name="Tier4">#REF!</definedName>
    <definedName name="Tier5" localSheetId="4">'SumCalc_01-02'!$P$14:$Q$15</definedName>
    <definedName name="Tier5">#REF!</definedName>
    <definedName name="Tier6" localSheetId="4">'SumCalc_01-02'!$P$16:$Q$17</definedName>
    <definedName name="Tier6">#REF!</definedName>
    <definedName name="Tier7" localSheetId="4">'SumCalc_01-02'!$P$18:$Q$19</definedName>
    <definedName name="Tier7">#REF!</definedName>
    <definedName name="Tier8" localSheetId="4">'SumCalc_01-02'!$P$20:$Q$21</definedName>
    <definedName name="Tier8">#REF!</definedName>
    <definedName name="Tier9" localSheetId="4">'SumCalc_01-02'!$P$22:$Q$23</definedName>
    <definedName name="Tier9">#REF!</definedName>
    <definedName name="TierA1" localSheetId="4">'SumCalc_01-02'!$P$6:$S$7</definedName>
    <definedName name="TierA1">#REF!</definedName>
    <definedName name="TierA10" localSheetId="4">'SumCalc_01-02'!$P$24:$S$25</definedName>
    <definedName name="TierA10">#REF!</definedName>
    <definedName name="TierA11" localSheetId="4">'SumCalc_01-02'!$P$26:$S$27</definedName>
    <definedName name="TierA11">#REF!</definedName>
    <definedName name="TierA2" localSheetId="4">'SumCalc_01-02'!$P$8:$S$9</definedName>
    <definedName name="TierA2">#REF!</definedName>
    <definedName name="TierA3" localSheetId="4">'SumCalc_01-02'!$P$10:$S$11</definedName>
    <definedName name="TierA3">#REF!</definedName>
    <definedName name="TierA4" localSheetId="4">'SumCalc_01-02'!$P$12:$S$13</definedName>
    <definedName name="TierA4">#REF!</definedName>
    <definedName name="TierA5" localSheetId="4">'SumCalc_01-02'!$P$14:$S$15</definedName>
    <definedName name="TierA5">#REF!</definedName>
    <definedName name="TierA6" localSheetId="4">'SumCalc_01-02'!$P$16:$S$17</definedName>
    <definedName name="TierA6">#REF!</definedName>
    <definedName name="TierA7" localSheetId="4">'SumCalc_01-02'!$P$18:$S$19</definedName>
    <definedName name="TierA7">#REF!</definedName>
    <definedName name="TierA8" localSheetId="4">'SumCalc_01-02'!$P$20:$S$21</definedName>
    <definedName name="TierA8">#REF!</definedName>
    <definedName name="TierA9" localSheetId="4">'SumCalc_01-02'!$P$22:$S$23</definedName>
    <definedName name="TierA9">#REF!</definedName>
    <definedName name="TierB1" localSheetId="4">'SumCalc_01-02'!$T$6:$W$7</definedName>
    <definedName name="TierB1">#REF!</definedName>
    <definedName name="TierB10" localSheetId="4">'SumCalc_01-02'!$T$24:$W$25</definedName>
    <definedName name="TierB10">#REF!</definedName>
    <definedName name="TierB11" localSheetId="4">'SumCalc_01-02'!$T$26:$W$27</definedName>
    <definedName name="TierB11">#REF!</definedName>
    <definedName name="TierB2" localSheetId="4">'SumCalc_01-02'!$T$8:$W$9</definedName>
    <definedName name="TierB2">#REF!</definedName>
    <definedName name="TierB3" localSheetId="4">'SumCalc_01-02'!$T$10:$W$11</definedName>
    <definedName name="TierB3">#REF!</definedName>
    <definedName name="TierB4" localSheetId="4">'SumCalc_01-02'!$T$12:$W$13</definedName>
    <definedName name="TierB4">#REF!</definedName>
    <definedName name="TierB5" localSheetId="4">'SumCalc_01-02'!$T$14:$W$15</definedName>
    <definedName name="TierB5">#REF!</definedName>
    <definedName name="TierB6" localSheetId="4">'SumCalc_01-02'!$T$16:$W$17</definedName>
    <definedName name="TierB6">#REF!</definedName>
    <definedName name="TierB7" localSheetId="4">'SumCalc_01-02'!$T$18:$W$19</definedName>
    <definedName name="TierB7">#REF!</definedName>
    <definedName name="TierB8" localSheetId="4">'SumCalc_01-02'!$T$20:$W$21</definedName>
    <definedName name="TierB8">#REF!</definedName>
    <definedName name="TierB9" localSheetId="4">'SumCalc_01-02'!$T$22:$W$23</definedName>
    <definedName name="TierB9">#REF!</definedName>
    <definedName name="TierC1" localSheetId="4">'SumCalc_01-02'!$X$6:$AA$7</definedName>
    <definedName name="TierC1">#REF!</definedName>
    <definedName name="TierC10" localSheetId="4">'SumCalc_01-02'!$X$24:$AA$25</definedName>
    <definedName name="TierC10">#REF!</definedName>
    <definedName name="TierC11" localSheetId="4">'SumCalc_01-02'!$X$26:$AA$27</definedName>
    <definedName name="TierC11">#REF!</definedName>
    <definedName name="TierC2" localSheetId="4">'SumCalc_01-02'!$X$8:$AA$9</definedName>
    <definedName name="TierC2">#REF!</definedName>
    <definedName name="TierC3" localSheetId="4">'SumCalc_01-02'!$X$10:$AA$11</definedName>
    <definedName name="TierC3">#REF!</definedName>
    <definedName name="TierC4" localSheetId="4">'SumCalc_01-02'!$X$12:$AA$13</definedName>
    <definedName name="TierC4">#REF!</definedName>
    <definedName name="TierC5" localSheetId="4">'SumCalc_01-02'!$X$14:$AA$15</definedName>
    <definedName name="TierC5">#REF!</definedName>
    <definedName name="TierC6" localSheetId="4">'SumCalc_01-02'!$X$16:$AA$17</definedName>
    <definedName name="TierC6">#REF!</definedName>
    <definedName name="TierC7" localSheetId="4">'SumCalc_01-02'!$X$18:$AA$19</definedName>
    <definedName name="TierC7">#REF!</definedName>
    <definedName name="TierC8" localSheetId="4">'SumCalc_01-02'!$X$20:$AA$21</definedName>
    <definedName name="TierC8">#REF!</definedName>
    <definedName name="TierC9" localSheetId="4">'SumCalc_01-02'!$X$22:$AA$23</definedName>
    <definedName name="TierC9">#REF!</definedName>
    <definedName name="TierD1" localSheetId="4">'SumCalc_01-02'!$AB$6:$AE$7</definedName>
    <definedName name="TierD1">#REF!</definedName>
    <definedName name="TierD10" localSheetId="4">'SumCalc_01-02'!$AB$24:$AE$25</definedName>
    <definedName name="TierD10">#REF!</definedName>
    <definedName name="TierD11" localSheetId="4">'SumCalc_01-02'!$AB$26:$AE$27</definedName>
    <definedName name="TierD11">#REF!</definedName>
    <definedName name="TierD2" localSheetId="4">'SumCalc_01-02'!$AB$8:$AE$9</definedName>
    <definedName name="TierD2">#REF!</definedName>
    <definedName name="TierD3" localSheetId="4">'SumCalc_01-02'!$AB$10:$AE$11</definedName>
    <definedName name="TierD3">#REF!</definedName>
    <definedName name="TierD4" localSheetId="4">'SumCalc_01-02'!$AB$12:$AE$13</definedName>
    <definedName name="TierD4">#REF!</definedName>
    <definedName name="TierD5" localSheetId="4">'SumCalc_01-02'!$AB$14:$AE$15</definedName>
    <definedName name="TierD5">#REF!</definedName>
    <definedName name="TierD6" localSheetId="4">'SumCalc_01-02'!$AB$16:$AE$17</definedName>
    <definedName name="TierD6">#REF!</definedName>
    <definedName name="TierD7" localSheetId="4">'SumCalc_01-02'!$AB$18:$AE$19</definedName>
    <definedName name="TierD7">#REF!</definedName>
    <definedName name="TierD8" localSheetId="4">'SumCalc_01-02'!$AB$20:$AE$21</definedName>
    <definedName name="TierD8">#REF!</definedName>
    <definedName name="TierD9" localSheetId="4">'SumCalc_01-02'!$AB$22:$AE$23</definedName>
    <definedName name="TierD9">#REF!</definedName>
    <definedName name="TierE1" localSheetId="4">'SumCalc_01-02'!$AF$6:$AI$7</definedName>
    <definedName name="TierE1">#REF!</definedName>
    <definedName name="TierE10" localSheetId="4">'SumCalc_01-02'!$AF$24:$AI$25</definedName>
    <definedName name="TierE10">#REF!</definedName>
    <definedName name="TierE11" localSheetId="4">'SumCalc_01-02'!$AF$26:$AI$27</definedName>
    <definedName name="TierE11">#REF!</definedName>
    <definedName name="TierE2" localSheetId="4">'SumCalc_01-02'!$AF$8:$AI$9</definedName>
    <definedName name="TierE2">#REF!</definedName>
    <definedName name="TierE3" localSheetId="4">'SumCalc_01-02'!$AF$10:$AI$11</definedName>
    <definedName name="TierE3">#REF!</definedName>
    <definedName name="TierE4" localSheetId="4">'SumCalc_01-02'!$AF$12:$AI$13</definedName>
    <definedName name="TierE4">#REF!</definedName>
    <definedName name="TierE5" localSheetId="4">'SumCalc_01-02'!$AF$14:$AI$15</definedName>
    <definedName name="TierE5">#REF!</definedName>
    <definedName name="TierE6" localSheetId="4">'SumCalc_01-02'!$AF$16:$AI$17</definedName>
    <definedName name="TierE6">#REF!</definedName>
    <definedName name="TierE7" localSheetId="4">'SumCalc_01-02'!$AF$18:$AI$19</definedName>
    <definedName name="TierE7">#REF!</definedName>
    <definedName name="TierE8" localSheetId="4">'SumCalc_01-02'!$AF$20:$AI$21</definedName>
    <definedName name="TierE8">#REF!</definedName>
    <definedName name="TierE9" localSheetId="4">'SumCalc_01-02'!$AF$22:$AI$23</definedName>
    <definedName name="TierE9">#REF!</definedName>
    <definedName name="TierF1" localSheetId="4">'SumCalc_01-02'!$AJ$6:$AM$7</definedName>
    <definedName name="TierF1">#REF!</definedName>
    <definedName name="TierF10" localSheetId="4">'SumCalc_01-02'!$AJ$24:$AM$25</definedName>
    <definedName name="TierF10">#REF!</definedName>
    <definedName name="TierF11" localSheetId="4">'SumCalc_01-02'!$AJ$26:$AM$27</definedName>
    <definedName name="TierF11">#REF!</definedName>
    <definedName name="TierF2" localSheetId="4">'SumCalc_01-02'!$AJ$8:$AM$9</definedName>
    <definedName name="TierF2">#REF!</definedName>
    <definedName name="TierF3" localSheetId="4">'SumCalc_01-02'!$AJ$10:$AM$11</definedName>
    <definedName name="TierF3">#REF!</definedName>
    <definedName name="TierF4" localSheetId="4">'SumCalc_01-02'!$AJ$12:$AM$13</definedName>
    <definedName name="TierF4">#REF!</definedName>
    <definedName name="TierF5" localSheetId="4">'SumCalc_01-02'!$AJ$14:$AM$15</definedName>
    <definedName name="TierF5">#REF!</definedName>
    <definedName name="TierF6" localSheetId="4">'SumCalc_01-02'!$AJ$16:$AM$17</definedName>
    <definedName name="TierF6">#REF!</definedName>
    <definedName name="TierF7" localSheetId="4">'SumCalc_01-02'!$AJ$18:$AM$19</definedName>
    <definedName name="TierF7">#REF!</definedName>
    <definedName name="TierF8" localSheetId="4">'SumCalc_01-02'!$AJ$20:$AM$21</definedName>
    <definedName name="TierF8">#REF!</definedName>
    <definedName name="TierF9" localSheetId="4">'SumCalc_01-02'!$AJ$22:$AM$23</definedName>
    <definedName name="TierF9">#REF!</definedName>
    <definedName name="TierG1" localSheetId="4">'SumCalc_01-02'!$AN$6:$AQ$7</definedName>
    <definedName name="TierG1">#REF!</definedName>
    <definedName name="TierG10" localSheetId="4">'SumCalc_01-02'!$AN$24:$AQ$25</definedName>
    <definedName name="TierG10">#REF!</definedName>
    <definedName name="TierG11" localSheetId="4">'SumCalc_01-02'!$AN$26:$AQ$27</definedName>
    <definedName name="TierG11">#REF!</definedName>
    <definedName name="TierG2" localSheetId="4">'SumCalc_01-02'!$AN$8:$AQ$9</definedName>
    <definedName name="TierG2">#REF!</definedName>
    <definedName name="TierG3" localSheetId="4">'SumCalc_01-02'!$AN$10:$AQ$11</definedName>
    <definedName name="TierG3">#REF!</definedName>
    <definedName name="TierG4" localSheetId="4">'SumCalc_01-02'!$AN$12:$AQ$13</definedName>
    <definedName name="TierG4">#REF!</definedName>
    <definedName name="TierG5" localSheetId="4">'SumCalc_01-02'!$AN$14:$AQ$15</definedName>
    <definedName name="TierG5">#REF!</definedName>
    <definedName name="TierG6" localSheetId="4">'SumCalc_01-02'!$AN$16:$AQ$17</definedName>
    <definedName name="TierG6">#REF!</definedName>
    <definedName name="TierG7" localSheetId="4">'SumCalc_01-02'!$AN$18:$AQ$19</definedName>
    <definedName name="TierG7">#REF!</definedName>
    <definedName name="TierG8" localSheetId="4">'SumCalc_01-02'!$AN$20:$AQ$21</definedName>
    <definedName name="TierG8">#REF!</definedName>
    <definedName name="TierG9" localSheetId="4">'SumCalc_01-02'!$AN$22:$AQ$23</definedName>
    <definedName name="TierG9">#REF!</definedName>
    <definedName name="Twenty" localSheetId="3">'01Retirees'!$O$2</definedName>
    <definedName name="Twenty" localSheetId="1">AssumLegend!#REF!</definedName>
    <definedName name="Twenty" localSheetId="2">Assumptions!#REF!</definedName>
    <definedName name="Twenty" localSheetId="5">LegendSumCalc!#REF!</definedName>
    <definedName name="Twent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6" i="8" l="1"/>
  <c r="C8" i="10" l="1"/>
  <c r="C9" i="10"/>
  <c r="C10" i="10"/>
  <c r="C11" i="10"/>
  <c r="C12" i="10"/>
  <c r="C13" i="10"/>
  <c r="C14" i="10"/>
  <c r="C15" i="10"/>
  <c r="C16" i="10"/>
  <c r="C17" i="10"/>
  <c r="C18" i="10"/>
  <c r="F20" i="10"/>
  <c r="C9" i="12"/>
  <c r="E6" i="4"/>
  <c r="G6" i="4"/>
  <c r="H6" i="4"/>
  <c r="I6" i="4"/>
  <c r="J6" i="4"/>
  <c r="M6" i="4"/>
  <c r="L9" i="4"/>
  <c r="E12" i="4"/>
  <c r="G12" i="4"/>
  <c r="H12" i="4"/>
  <c r="I12" i="4"/>
  <c r="J12" i="4"/>
  <c r="E38" i="4"/>
  <c r="G38" i="4"/>
  <c r="H38" i="4"/>
  <c r="I38" i="4"/>
  <c r="J38" i="4"/>
  <c r="L38" i="4"/>
  <c r="M38" i="4"/>
  <c r="E39" i="4"/>
  <c r="G5" i="6"/>
  <c r="G39" i="4"/>
  <c r="H39" i="4"/>
  <c r="I39" i="4"/>
  <c r="J39" i="4"/>
  <c r="L39" i="4"/>
  <c r="M39" i="4"/>
  <c r="A55" i="5"/>
  <c r="B55" i="5"/>
  <c r="L5" i="6"/>
  <c r="P5" i="6"/>
  <c r="X5" i="6" s="1"/>
  <c r="Q5" i="6"/>
  <c r="T5" i="6"/>
  <c r="U5" i="6"/>
  <c r="Z5" i="6"/>
  <c r="AI5" i="6"/>
  <c r="AL5" i="6"/>
  <c r="B6" i="6"/>
  <c r="L6" i="6"/>
  <c r="P6" i="6"/>
  <c r="Q6" i="6"/>
  <c r="C7" i="7" s="1"/>
  <c r="F24" i="4" s="1"/>
  <c r="U6" i="6"/>
  <c r="B7" i="6"/>
  <c r="B8" i="6" s="1"/>
  <c r="B9" i="6" s="1"/>
  <c r="B10" i="6" s="1"/>
  <c r="B11" i="6" s="1"/>
  <c r="L7" i="6"/>
  <c r="P7" i="6"/>
  <c r="X7" i="6"/>
  <c r="Q7" i="6"/>
  <c r="T7" i="6"/>
  <c r="U7" i="6"/>
  <c r="Z7" i="6"/>
  <c r="AI7" i="6"/>
  <c r="AL7" i="6"/>
  <c r="L8" i="6"/>
  <c r="P8" i="6"/>
  <c r="Q8" i="6"/>
  <c r="T8" i="6"/>
  <c r="U8" i="6"/>
  <c r="L9" i="6"/>
  <c r="P9" i="6"/>
  <c r="AI9" i="6" s="1"/>
  <c r="AH9" i="6" s="1"/>
  <c r="X9" i="6"/>
  <c r="Q9" i="6"/>
  <c r="T9" i="6" s="1"/>
  <c r="U9" i="6"/>
  <c r="Z9" i="6"/>
  <c r="L10" i="6"/>
  <c r="P10" i="6"/>
  <c r="Y10" i="6" s="1"/>
  <c r="Q10" i="6"/>
  <c r="T10" i="6" s="1"/>
  <c r="U10" i="6"/>
  <c r="AL10" i="6"/>
  <c r="L11" i="6"/>
  <c r="P11" i="6"/>
  <c r="Q11" i="6"/>
  <c r="AL11" i="6" s="1"/>
  <c r="T11" i="6"/>
  <c r="U11" i="6"/>
  <c r="B12" i="6"/>
  <c r="B13" i="6" s="1"/>
  <c r="B14" i="6" s="1"/>
  <c r="L12" i="6"/>
  <c r="P12" i="6"/>
  <c r="X12" i="6" s="1"/>
  <c r="Q12" i="6"/>
  <c r="T12" i="6"/>
  <c r="U12" i="6"/>
  <c r="AI12" i="6"/>
  <c r="AL12" i="6"/>
  <c r="L13" i="6"/>
  <c r="P13" i="6"/>
  <c r="Q13" i="6"/>
  <c r="T13" i="6"/>
  <c r="U13" i="6"/>
  <c r="L14" i="6"/>
  <c r="P14" i="6"/>
  <c r="AI14" i="6" s="1"/>
  <c r="AJ14" i="6" s="1"/>
  <c r="X14" i="6"/>
  <c r="Q14" i="6"/>
  <c r="T14" i="6" s="1"/>
  <c r="U14" i="6"/>
  <c r="Z14" i="6"/>
  <c r="B15" i="6"/>
  <c r="L15" i="6"/>
  <c r="P15" i="6"/>
  <c r="AI15" i="6" s="1"/>
  <c r="Q15" i="6"/>
  <c r="T15" i="6"/>
  <c r="U15" i="6"/>
  <c r="B16" i="6"/>
  <c r="B17" i="6" s="1"/>
  <c r="G16" i="6"/>
  <c r="L16" i="6"/>
  <c r="P16" i="6"/>
  <c r="X16" i="6"/>
  <c r="Q16" i="6"/>
  <c r="T16" i="6" s="1"/>
  <c r="U16" i="6"/>
  <c r="Z16" i="6"/>
  <c r="AI16" i="6"/>
  <c r="G17" i="6"/>
  <c r="L17" i="6"/>
  <c r="P17" i="6"/>
  <c r="Q17" i="6"/>
  <c r="T17" i="6"/>
  <c r="U17" i="6"/>
  <c r="AI17" i="6"/>
  <c r="AL17" i="6"/>
  <c r="B18" i="6"/>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98" i="6" s="1"/>
  <c r="B99" i="6" s="1"/>
  <c r="B107" i="6" s="1"/>
  <c r="B108" i="6" s="1"/>
  <c r="B109" i="6" s="1"/>
  <c r="B114" i="6" s="1"/>
  <c r="B115" i="6" s="1"/>
  <c r="B116" i="6" s="1"/>
  <c r="B117" i="6" s="1"/>
  <c r="B118" i="6" s="1"/>
  <c r="B119" i="6" s="1"/>
  <c r="B120" i="6" s="1"/>
  <c r="B121" i="6" s="1"/>
  <c r="B122" i="6" s="1"/>
  <c r="B123" i="6" s="1"/>
  <c r="B124" i="6" s="1"/>
  <c r="B125" i="6" s="1"/>
  <c r="B126" i="6" s="1"/>
  <c r="B127" i="6" s="1"/>
  <c r="B129" i="6" s="1"/>
  <c r="B130" i="6" s="1"/>
  <c r="B131" i="6" s="1"/>
  <c r="B132" i="6" s="1"/>
  <c r="B133" i="6" s="1"/>
  <c r="B134" i="6" s="1"/>
  <c r="B135" i="6" s="1"/>
  <c r="B136" i="6" s="1"/>
  <c r="B137" i="6" s="1"/>
  <c r="B138" i="6" s="1"/>
  <c r="G18" i="6"/>
  <c r="L18" i="6"/>
  <c r="P18" i="6"/>
  <c r="X18" i="6"/>
  <c r="AD18" i="6" s="1"/>
  <c r="Q18" i="6"/>
  <c r="T18" i="6" s="1"/>
  <c r="U18" i="6"/>
  <c r="Z18" i="6"/>
  <c r="AF18" i="6" s="1"/>
  <c r="AI18" i="6"/>
  <c r="AK18" i="6" s="1"/>
  <c r="L19" i="6"/>
  <c r="P19" i="6"/>
  <c r="Q19" i="6"/>
  <c r="T19" i="6" s="1"/>
  <c r="U19" i="6"/>
  <c r="Y19" i="6"/>
  <c r="L20" i="6"/>
  <c r="P20" i="6"/>
  <c r="X20" i="6" s="1"/>
  <c r="Q20" i="6"/>
  <c r="U20" i="6"/>
  <c r="L21" i="6"/>
  <c r="P21" i="6"/>
  <c r="Y21" i="6" s="1"/>
  <c r="Q21" i="6"/>
  <c r="T21" i="6"/>
  <c r="U21" i="6"/>
  <c r="X21" i="6"/>
  <c r="Z21" i="6"/>
  <c r="G22" i="6"/>
  <c r="L22" i="6"/>
  <c r="P22" i="6"/>
  <c r="AI22" i="6" s="1"/>
  <c r="Q22" i="6"/>
  <c r="AL22" i="6" s="1"/>
  <c r="U22" i="6"/>
  <c r="Y22" i="6"/>
  <c r="Z22" i="6"/>
  <c r="L23" i="6"/>
  <c r="P23" i="6"/>
  <c r="Q23" i="6"/>
  <c r="U23" i="6"/>
  <c r="G24" i="6"/>
  <c r="L24" i="6"/>
  <c r="O24" i="6"/>
  <c r="P24" i="6"/>
  <c r="Q24" i="6"/>
  <c r="T24" i="6"/>
  <c r="U24" i="6"/>
  <c r="X24" i="6"/>
  <c r="AD24" i="6" s="1"/>
  <c r="Y24" i="6"/>
  <c r="Z24" i="6"/>
  <c r="AC24" i="6" s="1"/>
  <c r="AI24" i="6"/>
  <c r="G25" i="6"/>
  <c r="L25" i="6"/>
  <c r="O25" i="6"/>
  <c r="W25" i="6" s="1"/>
  <c r="P25" i="6"/>
  <c r="Y25" i="6" s="1"/>
  <c r="Q25" i="6"/>
  <c r="T25" i="6"/>
  <c r="U25" i="6"/>
  <c r="X25" i="6"/>
  <c r="AL25" i="6"/>
  <c r="G26" i="6"/>
  <c r="L26" i="6"/>
  <c r="P26" i="6"/>
  <c r="Q26" i="6"/>
  <c r="T26" i="6"/>
  <c r="U26" i="6"/>
  <c r="X26" i="6"/>
  <c r="G27" i="6"/>
  <c r="L27" i="6"/>
  <c r="O27" i="6"/>
  <c r="P27" i="6"/>
  <c r="Z27" i="6" s="1"/>
  <c r="Q27" i="6"/>
  <c r="T27" i="6" s="1"/>
  <c r="U27" i="6"/>
  <c r="X27" i="6"/>
  <c r="Y27" i="6"/>
  <c r="AI27" i="6"/>
  <c r="AH27" i="6" s="1"/>
  <c r="L28" i="6"/>
  <c r="P28" i="6"/>
  <c r="Z28" i="6" s="1"/>
  <c r="Q28" i="6"/>
  <c r="U28" i="6"/>
  <c r="X28" i="6"/>
  <c r="Y28" i="6"/>
  <c r="L29" i="6"/>
  <c r="P29" i="6"/>
  <c r="Q29" i="6"/>
  <c r="T29" i="6" s="1"/>
  <c r="U29" i="6"/>
  <c r="AL29" i="6"/>
  <c r="G30" i="6"/>
  <c r="L30" i="6"/>
  <c r="P30" i="6"/>
  <c r="Q30" i="6"/>
  <c r="AL30" i="6" s="1"/>
  <c r="T30" i="6"/>
  <c r="U30" i="6"/>
  <c r="X30" i="6"/>
  <c r="Y30" i="6"/>
  <c r="Z30" i="6"/>
  <c r="AF30" i="6" s="1"/>
  <c r="L31" i="6"/>
  <c r="P31" i="6"/>
  <c r="Q31" i="6"/>
  <c r="T31" i="6" s="1"/>
  <c r="U31" i="6"/>
  <c r="L32" i="6"/>
  <c r="P32" i="6"/>
  <c r="Z32" i="6" s="1"/>
  <c r="Q32" i="6"/>
  <c r="U32" i="6"/>
  <c r="X32" i="6"/>
  <c r="Y32" i="6"/>
  <c r="G33" i="6"/>
  <c r="L33" i="6"/>
  <c r="O33" i="6"/>
  <c r="P33" i="6"/>
  <c r="Q33" i="6"/>
  <c r="AL33" i="6" s="1"/>
  <c r="T33" i="6"/>
  <c r="U33" i="6"/>
  <c r="X33" i="6"/>
  <c r="Y33" i="6"/>
  <c r="Z33" i="6"/>
  <c r="AC33" i="6" s="1"/>
  <c r="AI33" i="6"/>
  <c r="L34" i="6"/>
  <c r="P34" i="6"/>
  <c r="Q34" i="6"/>
  <c r="AL34" i="6" s="1"/>
  <c r="U34" i="6"/>
  <c r="Y34" i="6"/>
  <c r="G35" i="6"/>
  <c r="L35" i="6"/>
  <c r="O35" i="6"/>
  <c r="P35" i="6"/>
  <c r="Q35" i="6"/>
  <c r="U35" i="6"/>
  <c r="X35" i="6"/>
  <c r="Y35" i="6"/>
  <c r="Z35" i="6"/>
  <c r="AI35" i="6"/>
  <c r="G36" i="6"/>
  <c r="L36" i="6"/>
  <c r="P36" i="6"/>
  <c r="Q36" i="6"/>
  <c r="T36" i="6" s="1"/>
  <c r="U36" i="6"/>
  <c r="X36" i="6"/>
  <c r="AA36" i="6" s="1"/>
  <c r="L37" i="6"/>
  <c r="P37" i="6"/>
  <c r="Q37" i="6"/>
  <c r="T37" i="6"/>
  <c r="U37" i="6"/>
  <c r="X37" i="6"/>
  <c r="AL37" i="6"/>
  <c r="G38" i="6"/>
  <c r="L38" i="6"/>
  <c r="P38" i="6"/>
  <c r="Q38" i="6"/>
  <c r="T38" i="6"/>
  <c r="U38" i="6"/>
  <c r="X38" i="6"/>
  <c r="AL38" i="6"/>
  <c r="L39" i="6"/>
  <c r="O39" i="6"/>
  <c r="P39" i="6"/>
  <c r="Y39" i="6" s="1"/>
  <c r="Q39" i="6"/>
  <c r="T39" i="6"/>
  <c r="U39" i="6"/>
  <c r="X39" i="6"/>
  <c r="AL39" i="6"/>
  <c r="G40" i="6"/>
  <c r="L40" i="6"/>
  <c r="P40" i="6"/>
  <c r="Q40" i="6"/>
  <c r="T40" i="6"/>
  <c r="U40" i="6"/>
  <c r="X40" i="6"/>
  <c r="AL40" i="6"/>
  <c r="L41" i="6"/>
  <c r="O41" i="6"/>
  <c r="P41" i="6"/>
  <c r="Y41" i="6"/>
  <c r="Q41" i="6"/>
  <c r="AL41" i="6" s="1"/>
  <c r="U41" i="6"/>
  <c r="X41" i="6"/>
  <c r="Z41" i="6"/>
  <c r="AI41" i="6"/>
  <c r="G42" i="6"/>
  <c r="L42" i="6"/>
  <c r="P42" i="6"/>
  <c r="Y42" i="6"/>
  <c r="Q42" i="6"/>
  <c r="T42" i="6" s="1"/>
  <c r="U42" i="6"/>
  <c r="X42" i="6"/>
  <c r="Z42" i="6"/>
  <c r="AL42" i="6"/>
  <c r="L43" i="6"/>
  <c r="P43" i="6"/>
  <c r="AI43" i="6" s="1"/>
  <c r="Q43" i="6"/>
  <c r="T43" i="6" s="1"/>
  <c r="U43" i="6"/>
  <c r="L44" i="6"/>
  <c r="P44" i="6"/>
  <c r="Q44" i="6"/>
  <c r="T44" i="6"/>
  <c r="U44" i="6"/>
  <c r="G45" i="6"/>
  <c r="L45" i="6"/>
  <c r="P45" i="6"/>
  <c r="Q45" i="6"/>
  <c r="T45" i="6"/>
  <c r="U45" i="6"/>
  <c r="AL45" i="6"/>
  <c r="L46" i="6"/>
  <c r="O46" i="6"/>
  <c r="P46" i="6"/>
  <c r="AI46" i="6" s="1"/>
  <c r="Q46" i="6"/>
  <c r="T46" i="6"/>
  <c r="U46" i="6"/>
  <c r="Z46" i="6"/>
  <c r="AL46" i="6"/>
  <c r="L47" i="6"/>
  <c r="O47" i="6"/>
  <c r="P47" i="6"/>
  <c r="Y47" i="6"/>
  <c r="Q47" i="6"/>
  <c r="T47" i="6" s="1"/>
  <c r="U47" i="6"/>
  <c r="X47" i="6"/>
  <c r="Z47" i="6"/>
  <c r="AI47" i="6"/>
  <c r="G48" i="6"/>
  <c r="L48" i="6"/>
  <c r="O48" i="6"/>
  <c r="P48" i="6"/>
  <c r="Y48" i="6" s="1"/>
  <c r="Q48" i="6"/>
  <c r="AL48" i="6" s="1"/>
  <c r="U48" i="6"/>
  <c r="X48" i="6"/>
  <c r="AI48" i="6"/>
  <c r="G49" i="6"/>
  <c r="L49" i="6"/>
  <c r="P49" i="6"/>
  <c r="Y49" i="6"/>
  <c r="Q49" i="6"/>
  <c r="T49" i="6" s="1"/>
  <c r="U49" i="6"/>
  <c r="X49" i="6"/>
  <c r="Z49" i="6"/>
  <c r="L50" i="6"/>
  <c r="P50" i="6"/>
  <c r="Y50" i="6" s="1"/>
  <c r="Q50" i="6"/>
  <c r="T50" i="6" s="1"/>
  <c r="U50" i="6"/>
  <c r="X50" i="6"/>
  <c r="G51" i="6"/>
  <c r="L51" i="6"/>
  <c r="O51" i="6"/>
  <c r="P51" i="6"/>
  <c r="Y51" i="6" s="1"/>
  <c r="Q51" i="6"/>
  <c r="U51" i="6"/>
  <c r="Z51" i="6"/>
  <c r="AI51" i="6"/>
  <c r="G52" i="6"/>
  <c r="L52" i="6"/>
  <c r="O52" i="6"/>
  <c r="P52" i="6"/>
  <c r="Y52" i="6"/>
  <c r="Q52" i="6"/>
  <c r="U52" i="6"/>
  <c r="X52" i="6"/>
  <c r="Z52" i="6"/>
  <c r="AI52" i="6"/>
  <c r="G53" i="6"/>
  <c r="L53" i="6"/>
  <c r="P53" i="6"/>
  <c r="Y53" i="6"/>
  <c r="Q53" i="6"/>
  <c r="T53" i="6" s="1"/>
  <c r="U53" i="6"/>
  <c r="X53" i="6"/>
  <c r="G54" i="6"/>
  <c r="L54" i="6"/>
  <c r="P54" i="6"/>
  <c r="Y54" i="6"/>
  <c r="Q54" i="6"/>
  <c r="U54" i="6"/>
  <c r="X54" i="6"/>
  <c r="L55" i="6"/>
  <c r="P55" i="6"/>
  <c r="Q55" i="6"/>
  <c r="T55" i="6"/>
  <c r="U55" i="6"/>
  <c r="AI55" i="6"/>
  <c r="AL55" i="6"/>
  <c r="L56" i="6"/>
  <c r="O56" i="6"/>
  <c r="P56" i="6"/>
  <c r="Y56" i="6" s="1"/>
  <c r="Q56" i="6"/>
  <c r="T56" i="6" s="1"/>
  <c r="U56" i="6"/>
  <c r="Z56" i="6"/>
  <c r="AI56" i="6"/>
  <c r="G57" i="6"/>
  <c r="L57" i="6"/>
  <c r="O57" i="6"/>
  <c r="W57" i="6" s="1"/>
  <c r="P57" i="6"/>
  <c r="Y57" i="6" s="1"/>
  <c r="Q57" i="6"/>
  <c r="AL57" i="6" s="1"/>
  <c r="T57" i="6"/>
  <c r="U57" i="6"/>
  <c r="Z57" i="6"/>
  <c r="G58" i="6"/>
  <c r="L58" i="6"/>
  <c r="O58" i="6"/>
  <c r="P58" i="6"/>
  <c r="Y58" i="6"/>
  <c r="Q58" i="6"/>
  <c r="U58" i="6"/>
  <c r="X58" i="6"/>
  <c r="Z58" i="6"/>
  <c r="AI58" i="6"/>
  <c r="G59" i="6"/>
  <c r="L59" i="6"/>
  <c r="P59" i="6"/>
  <c r="Y59" i="6"/>
  <c r="AB59" i="6" s="1"/>
  <c r="Q59" i="6"/>
  <c r="T59" i="6" s="1"/>
  <c r="U59" i="6"/>
  <c r="X59" i="6"/>
  <c r="AA59" i="6" s="1"/>
  <c r="AL59" i="6"/>
  <c r="L60" i="6"/>
  <c r="P60" i="6"/>
  <c r="Q60" i="6"/>
  <c r="T60" i="6"/>
  <c r="U60" i="6"/>
  <c r="AI60" i="6"/>
  <c r="AL60" i="6"/>
  <c r="L61" i="6"/>
  <c r="O61" i="6"/>
  <c r="P61" i="6"/>
  <c r="Y61" i="6" s="1"/>
  <c r="Q61" i="6"/>
  <c r="T61" i="6"/>
  <c r="U61" i="6"/>
  <c r="Z61" i="6"/>
  <c r="AI61" i="6"/>
  <c r="G62" i="6"/>
  <c r="L62" i="6"/>
  <c r="P62" i="6"/>
  <c r="Y62" i="6" s="1"/>
  <c r="Q62" i="6"/>
  <c r="T62" i="6" s="1"/>
  <c r="U62" i="6"/>
  <c r="Z62" i="6"/>
  <c r="AI62" i="6"/>
  <c r="L63" i="6"/>
  <c r="P63" i="6"/>
  <c r="Y63" i="6" s="1"/>
  <c r="Q63" i="6"/>
  <c r="T63" i="6" s="1"/>
  <c r="U63" i="6"/>
  <c r="Z63" i="6"/>
  <c r="AI63" i="6"/>
  <c r="G64" i="6"/>
  <c r="L64" i="6"/>
  <c r="P64" i="6"/>
  <c r="Z64" i="6" s="1"/>
  <c r="Q64" i="6"/>
  <c r="T64" i="6" s="1"/>
  <c r="U64" i="6"/>
  <c r="L65" i="6"/>
  <c r="P65" i="6"/>
  <c r="Q65" i="6"/>
  <c r="T65" i="6" s="1"/>
  <c r="U65" i="6"/>
  <c r="G66" i="6"/>
  <c r="L66" i="6"/>
  <c r="O66" i="6"/>
  <c r="V66" i="6" s="1"/>
  <c r="P66" i="6"/>
  <c r="Y66" i="6" s="1"/>
  <c r="Q66" i="6"/>
  <c r="T66" i="6" s="1"/>
  <c r="U66" i="6"/>
  <c r="Z66" i="6"/>
  <c r="AI66" i="6"/>
  <c r="L67" i="6"/>
  <c r="P67" i="6"/>
  <c r="Q67" i="6"/>
  <c r="T67" i="6" s="1"/>
  <c r="U67" i="6"/>
  <c r="AI67" i="6"/>
  <c r="L68" i="6"/>
  <c r="P68" i="6"/>
  <c r="Y68" i="6" s="1"/>
  <c r="Q68" i="6"/>
  <c r="U68" i="6"/>
  <c r="X68" i="6"/>
  <c r="Z68" i="6"/>
  <c r="G69" i="6"/>
  <c r="L69" i="6"/>
  <c r="O69" i="6"/>
  <c r="P69" i="6"/>
  <c r="Q69" i="6"/>
  <c r="T69" i="6"/>
  <c r="U69" i="6"/>
  <c r="X69" i="6"/>
  <c r="Y69" i="6"/>
  <c r="Z69" i="6"/>
  <c r="AC69" i="6" s="1"/>
  <c r="AI69" i="6"/>
  <c r="G70" i="6"/>
  <c r="L70" i="6"/>
  <c r="O70" i="6"/>
  <c r="P70" i="6"/>
  <c r="Y70" i="6" s="1"/>
  <c r="Q70" i="6"/>
  <c r="T70" i="6"/>
  <c r="U70" i="6"/>
  <c r="X70" i="6"/>
  <c r="Z70" i="6"/>
  <c r="AF70" i="6" s="1"/>
  <c r="AI70" i="6"/>
  <c r="G71" i="6"/>
  <c r="L71" i="6"/>
  <c r="P71" i="6"/>
  <c r="Q71" i="6"/>
  <c r="AL71" i="6" s="1"/>
  <c r="U71" i="6"/>
  <c r="G72" i="6"/>
  <c r="L72" i="6"/>
  <c r="P72" i="6"/>
  <c r="Q72" i="6"/>
  <c r="U72" i="6"/>
  <c r="X72" i="6"/>
  <c r="Y72" i="6"/>
  <c r="G73" i="6"/>
  <c r="L73" i="6"/>
  <c r="P73" i="6"/>
  <c r="Z73" i="6" s="1"/>
  <c r="Q73" i="6"/>
  <c r="T73" i="6" s="1"/>
  <c r="U73" i="6"/>
  <c r="Y73" i="6"/>
  <c r="AB73" i="6" s="1"/>
  <c r="AI73" i="6"/>
  <c r="AK73" i="6" s="1"/>
  <c r="G74" i="6"/>
  <c r="L74" i="6"/>
  <c r="O74" i="6"/>
  <c r="W74" i="6" s="1"/>
  <c r="P74" i="6"/>
  <c r="Z74" i="6" s="1"/>
  <c r="Q74" i="6"/>
  <c r="T74" i="6" s="1"/>
  <c r="U74" i="6"/>
  <c r="X74" i="6"/>
  <c r="AA74" i="6" s="1"/>
  <c r="Y74" i="6"/>
  <c r="AL74" i="6"/>
  <c r="L75" i="6"/>
  <c r="P75" i="6"/>
  <c r="Y75" i="6" s="1"/>
  <c r="Q75" i="6"/>
  <c r="T75" i="6"/>
  <c r="U75" i="6"/>
  <c r="X75" i="6"/>
  <c r="AL75" i="6"/>
  <c r="G76" i="6"/>
  <c r="L76" i="6"/>
  <c r="P76" i="6"/>
  <c r="O76" i="6" s="1"/>
  <c r="Q76" i="6"/>
  <c r="T76" i="6" s="1"/>
  <c r="U76" i="6"/>
  <c r="X76" i="6"/>
  <c r="Y76" i="6"/>
  <c r="AB76" i="6" s="1"/>
  <c r="Z76" i="6"/>
  <c r="G77" i="6"/>
  <c r="L77" i="6"/>
  <c r="O77" i="6"/>
  <c r="W77" i="6" s="1"/>
  <c r="P77" i="6"/>
  <c r="Q77" i="6"/>
  <c r="AL77" i="6" s="1"/>
  <c r="T77" i="6"/>
  <c r="U77" i="6"/>
  <c r="X77" i="6"/>
  <c r="Y77" i="6"/>
  <c r="Z77" i="6"/>
  <c r="AC77" i="6" s="1"/>
  <c r="AI77" i="6"/>
  <c r="G78" i="6"/>
  <c r="L78" i="6"/>
  <c r="P78" i="6"/>
  <c r="Q78" i="6"/>
  <c r="T78" i="6" s="1"/>
  <c r="U78" i="6"/>
  <c r="X78" i="6"/>
  <c r="AD78" i="6" s="1"/>
  <c r="AL78" i="6"/>
  <c r="G79" i="6"/>
  <c r="L79" i="6"/>
  <c r="P79" i="6"/>
  <c r="X79" i="6" s="1"/>
  <c r="AA79" i="6" s="1"/>
  <c r="Q79" i="6"/>
  <c r="T79" i="6" s="1"/>
  <c r="U79" i="6"/>
  <c r="AL79" i="6"/>
  <c r="G80" i="6"/>
  <c r="L80" i="6"/>
  <c r="P80" i="6"/>
  <c r="X80" i="6"/>
  <c r="AD80" i="6" s="1"/>
  <c r="Q80" i="6"/>
  <c r="T80" i="6" s="1"/>
  <c r="U80" i="6"/>
  <c r="AL80" i="6"/>
  <c r="G81" i="6"/>
  <c r="L81" i="6"/>
  <c r="P81" i="6"/>
  <c r="X81" i="6" s="1"/>
  <c r="Q81" i="6"/>
  <c r="U81" i="6"/>
  <c r="G82" i="6"/>
  <c r="L82" i="6"/>
  <c r="P82" i="6"/>
  <c r="Q82" i="6"/>
  <c r="T82" i="6" s="1"/>
  <c r="U82" i="6"/>
  <c r="G83" i="6"/>
  <c r="L83" i="6"/>
  <c r="P83" i="6"/>
  <c r="X83" i="6"/>
  <c r="Q83" i="6"/>
  <c r="U83" i="6"/>
  <c r="L84" i="6"/>
  <c r="P84" i="6"/>
  <c r="Z84" i="6" s="1"/>
  <c r="Q84" i="6"/>
  <c r="T84" i="6"/>
  <c r="U84" i="6"/>
  <c r="AL84" i="6"/>
  <c r="G85" i="6"/>
  <c r="L85" i="6"/>
  <c r="P85" i="6"/>
  <c r="Z85" i="6" s="1"/>
  <c r="Q85" i="6"/>
  <c r="AL85" i="6" s="1"/>
  <c r="U85" i="6"/>
  <c r="G86" i="6"/>
  <c r="L86" i="6"/>
  <c r="P86" i="6"/>
  <c r="Q86" i="6"/>
  <c r="T86" i="6" s="1"/>
  <c r="U86" i="6"/>
  <c r="AL86" i="6"/>
  <c r="G87" i="6"/>
  <c r="G88" i="6"/>
  <c r="G89" i="6"/>
  <c r="G98" i="6"/>
  <c r="L98" i="6"/>
  <c r="P98" i="6"/>
  <c r="X98" i="6"/>
  <c r="AA98" i="6" s="1"/>
  <c r="Q98" i="6"/>
  <c r="T98" i="6" s="1"/>
  <c r="U98" i="6"/>
  <c r="Y98" i="6"/>
  <c r="Z98" i="6"/>
  <c r="G99" i="6"/>
  <c r="L99" i="6"/>
  <c r="P99" i="6"/>
  <c r="Q99" i="6"/>
  <c r="T99" i="6" s="1"/>
  <c r="U99" i="6"/>
  <c r="Y99" i="6"/>
  <c r="AB99" i="6" s="1"/>
  <c r="L103" i="6"/>
  <c r="G107" i="6"/>
  <c r="L107" i="6"/>
  <c r="O107" i="6"/>
  <c r="AI107" i="6" s="1"/>
  <c r="Q107" i="6"/>
  <c r="AL107" i="6" s="1"/>
  <c r="U107" i="6"/>
  <c r="X107" i="6"/>
  <c r="Y107" i="6"/>
  <c r="Z107" i="6"/>
  <c r="G108" i="6"/>
  <c r="L108" i="6"/>
  <c r="O108" i="6"/>
  <c r="AI108" i="6" s="1"/>
  <c r="Q108" i="6"/>
  <c r="T108" i="6"/>
  <c r="U108" i="6"/>
  <c r="X108" i="6"/>
  <c r="Y108" i="6"/>
  <c r="Z108" i="6"/>
  <c r="AF108" i="6" s="1"/>
  <c r="G109" i="6"/>
  <c r="L109" i="6"/>
  <c r="O109" i="6"/>
  <c r="Q109" i="6"/>
  <c r="U109" i="6"/>
  <c r="X109" i="6"/>
  <c r="Y109" i="6"/>
  <c r="Z109" i="6"/>
  <c r="AI109" i="6"/>
  <c r="G114" i="6"/>
  <c r="Q114" i="6"/>
  <c r="T114" i="6" s="1"/>
  <c r="U114" i="6"/>
  <c r="J114" i="6"/>
  <c r="O114" i="6"/>
  <c r="X114" i="6"/>
  <c r="AD114" i="6" s="1"/>
  <c r="Y114" i="6"/>
  <c r="Z114" i="6"/>
  <c r="G115" i="6"/>
  <c r="Q115" i="6"/>
  <c r="T115" i="6"/>
  <c r="J115" i="6"/>
  <c r="P115" i="6" s="1"/>
  <c r="O115" i="6"/>
  <c r="U115" i="6"/>
  <c r="X115" i="6"/>
  <c r="Y115" i="6"/>
  <c r="Z115" i="6"/>
  <c r="AI115" i="6"/>
  <c r="G116" i="6"/>
  <c r="Q116" i="6"/>
  <c r="U116" i="6"/>
  <c r="J116" i="6"/>
  <c r="O116" i="6"/>
  <c r="X116" i="6"/>
  <c r="Y116" i="6"/>
  <c r="Z116" i="6"/>
  <c r="G117" i="6"/>
  <c r="Q117" i="6"/>
  <c r="T117" i="6" s="1"/>
  <c r="U117" i="6"/>
  <c r="J117" i="6"/>
  <c r="O117" i="6"/>
  <c r="AI117" i="6" s="1"/>
  <c r="X117" i="6"/>
  <c r="Y117" i="6"/>
  <c r="Z117" i="6"/>
  <c r="J118" i="6"/>
  <c r="O118" i="6"/>
  <c r="Q118" i="6"/>
  <c r="T118" i="6" s="1"/>
  <c r="X118" i="6"/>
  <c r="Y118" i="6"/>
  <c r="Z118" i="6"/>
  <c r="G119" i="6"/>
  <c r="Q119" i="6"/>
  <c r="T119" i="6" s="1"/>
  <c r="U119" i="6"/>
  <c r="J119" i="6"/>
  <c r="O119" i="6"/>
  <c r="P119" i="6"/>
  <c r="X119" i="6"/>
  <c r="AD119" i="6" s="1"/>
  <c r="Y119" i="6"/>
  <c r="Z119" i="6"/>
  <c r="AF119" i="6"/>
  <c r="G120" i="6"/>
  <c r="L120" i="6"/>
  <c r="O120" i="6"/>
  <c r="P120" i="6"/>
  <c r="Q120" i="6"/>
  <c r="U120" i="6"/>
  <c r="X120" i="6"/>
  <c r="Y120" i="6"/>
  <c r="Z120" i="6"/>
  <c r="Q121" i="6"/>
  <c r="T121" i="6" s="1"/>
  <c r="U121" i="6"/>
  <c r="J121" i="6"/>
  <c r="O121" i="6"/>
  <c r="X121" i="6"/>
  <c r="Y121" i="6"/>
  <c r="Z121" i="6"/>
  <c r="AI121" i="6"/>
  <c r="G122" i="6"/>
  <c r="U122" i="6"/>
  <c r="J122" i="6"/>
  <c r="O122" i="6"/>
  <c r="Q122" i="6"/>
  <c r="X122" i="6"/>
  <c r="Y122" i="6"/>
  <c r="Z122" i="6"/>
  <c r="G123" i="6"/>
  <c r="Q123" i="6"/>
  <c r="T123" i="6" s="1"/>
  <c r="U123" i="6"/>
  <c r="J123" i="6"/>
  <c r="P123" i="6" s="1"/>
  <c r="O123" i="6"/>
  <c r="AI123" i="6" s="1"/>
  <c r="X123" i="6"/>
  <c r="Y123" i="6"/>
  <c r="Z123" i="6"/>
  <c r="O124" i="6"/>
  <c r="P124" i="6"/>
  <c r="Q124" i="6"/>
  <c r="T124" i="6"/>
  <c r="U124" i="6"/>
  <c r="X124" i="6"/>
  <c r="Y124" i="6"/>
  <c r="Z124" i="6"/>
  <c r="AI124" i="6"/>
  <c r="G125" i="6"/>
  <c r="Q125" i="6"/>
  <c r="J125" i="6"/>
  <c r="O125" i="6"/>
  <c r="T125" i="6"/>
  <c r="U125" i="6"/>
  <c r="X125" i="6"/>
  <c r="Y125" i="6"/>
  <c r="Z125" i="6"/>
  <c r="G126" i="6"/>
  <c r="Q126" i="6"/>
  <c r="T126" i="6" s="1"/>
  <c r="U126" i="6"/>
  <c r="J126" i="6"/>
  <c r="O126" i="6"/>
  <c r="P126" i="6"/>
  <c r="X126" i="6"/>
  <c r="Y126" i="6"/>
  <c r="Z126" i="6"/>
  <c r="AI126" i="6"/>
  <c r="G127" i="6"/>
  <c r="J127" i="6"/>
  <c r="P127" i="6"/>
  <c r="O127" i="6"/>
  <c r="Q127" i="6"/>
  <c r="T127" i="6" s="1"/>
  <c r="V127" i="6" s="1"/>
  <c r="U127" i="6"/>
  <c r="X127" i="6"/>
  <c r="Y127" i="6"/>
  <c r="Z127" i="6"/>
  <c r="AI127" i="6"/>
  <c r="G129" i="6"/>
  <c r="J129" i="6"/>
  <c r="O129" i="6"/>
  <c r="Q129" i="6"/>
  <c r="T129" i="6" s="1"/>
  <c r="X129" i="6"/>
  <c r="Y129" i="6"/>
  <c r="Z129" i="6"/>
  <c r="AC129" i="6" s="1"/>
  <c r="G130" i="6"/>
  <c r="AD130" i="6" s="1"/>
  <c r="Q130" i="6"/>
  <c r="T130" i="6" s="1"/>
  <c r="U130" i="6"/>
  <c r="J130" i="6"/>
  <c r="O130" i="6"/>
  <c r="AI130" i="6" s="1"/>
  <c r="AK130" i="6" s="1"/>
  <c r="X130" i="6"/>
  <c r="Y130" i="6"/>
  <c r="Z130" i="6"/>
  <c r="G131" i="6"/>
  <c r="Q131" i="6"/>
  <c r="T131" i="6" s="1"/>
  <c r="J131" i="6"/>
  <c r="O131" i="6"/>
  <c r="W131" i="6"/>
  <c r="U131" i="6"/>
  <c r="X131" i="6"/>
  <c r="AD131" i="6" s="1"/>
  <c r="Y131" i="6"/>
  <c r="Z131" i="6"/>
  <c r="G132" i="6"/>
  <c r="Q132" i="6"/>
  <c r="T132" i="6" s="1"/>
  <c r="U132" i="6"/>
  <c r="J132" i="6"/>
  <c r="P132" i="6" s="1"/>
  <c r="O132" i="6"/>
  <c r="X132" i="6"/>
  <c r="Y132" i="6"/>
  <c r="Z132" i="6"/>
  <c r="AI132" i="6"/>
  <c r="G133" i="6"/>
  <c r="O133" i="6"/>
  <c r="AI133" i="6" s="1"/>
  <c r="P133" i="6"/>
  <c r="Q133" i="6"/>
  <c r="T133" i="6"/>
  <c r="U133" i="6"/>
  <c r="X133" i="6"/>
  <c r="Y133" i="6"/>
  <c r="Z133" i="6"/>
  <c r="AC133" i="6"/>
  <c r="AK133" i="6"/>
  <c r="G134" i="6"/>
  <c r="Q134" i="6"/>
  <c r="T134" i="6" s="1"/>
  <c r="U134" i="6"/>
  <c r="J134" i="6"/>
  <c r="O134" i="6"/>
  <c r="W134" i="6"/>
  <c r="X134" i="6"/>
  <c r="AD134" i="6" s="1"/>
  <c r="Y134" i="6"/>
  <c r="Z134" i="6"/>
  <c r="AC134" i="6"/>
  <c r="G135" i="6"/>
  <c r="Q135" i="6"/>
  <c r="T135" i="6" s="1"/>
  <c r="U135" i="6"/>
  <c r="J135" i="6"/>
  <c r="P135" i="6" s="1"/>
  <c r="O135" i="6"/>
  <c r="AI135" i="6" s="1"/>
  <c r="X135" i="6"/>
  <c r="Y135" i="6"/>
  <c r="Z135" i="6"/>
  <c r="G136" i="6"/>
  <c r="Q136" i="6"/>
  <c r="J136" i="6"/>
  <c r="O136" i="6"/>
  <c r="X136" i="6"/>
  <c r="Y136" i="6"/>
  <c r="Z136" i="6"/>
  <c r="G137" i="6"/>
  <c r="Q137" i="6"/>
  <c r="T137" i="6" s="1"/>
  <c r="U137" i="6"/>
  <c r="J137" i="6"/>
  <c r="P137" i="6" s="1"/>
  <c r="O137" i="6"/>
  <c r="V137" i="6"/>
  <c r="X137" i="6"/>
  <c r="Y137" i="6"/>
  <c r="Z137" i="6"/>
  <c r="AB137" i="6"/>
  <c r="AI137" i="6"/>
  <c r="G138" i="6"/>
  <c r="Q138" i="6"/>
  <c r="J138" i="6"/>
  <c r="P138" i="6" s="1"/>
  <c r="O138" i="6"/>
  <c r="U138" i="6"/>
  <c r="X138" i="6"/>
  <c r="Y138" i="6"/>
  <c r="Z138" i="6"/>
  <c r="G151" i="6"/>
  <c r="O151" i="6"/>
  <c r="P151" i="6"/>
  <c r="Q151" i="6"/>
  <c r="AJ151" i="6" s="1"/>
  <c r="X151" i="6"/>
  <c r="Y151" i="6"/>
  <c r="Z151" i="6"/>
  <c r="AI151" i="6"/>
  <c r="AK151" i="6" s="1"/>
  <c r="G152" i="6"/>
  <c r="AA152" i="6" s="1"/>
  <c r="O152" i="6"/>
  <c r="P152" i="6"/>
  <c r="Q152" i="6"/>
  <c r="W152" i="6" s="1"/>
  <c r="AD152" i="6"/>
  <c r="X152" i="6"/>
  <c r="Y152" i="6"/>
  <c r="AB152" i="6"/>
  <c r="Z152" i="6"/>
  <c r="AH152" i="6"/>
  <c r="AI152" i="6"/>
  <c r="AK152" i="6" s="1"/>
  <c r="G153" i="6"/>
  <c r="O153" i="6"/>
  <c r="P153" i="6"/>
  <c r="Q153" i="6"/>
  <c r="AH153" i="6" s="1"/>
  <c r="X153" i="6"/>
  <c r="Y153" i="6"/>
  <c r="Z153" i="6"/>
  <c r="AI153" i="6"/>
  <c r="G154" i="6"/>
  <c r="O154" i="6"/>
  <c r="P154" i="6"/>
  <c r="Q154" i="6"/>
  <c r="AK154" i="6" s="1"/>
  <c r="X154" i="6"/>
  <c r="Y154" i="6"/>
  <c r="Z154" i="6"/>
  <c r="AI154" i="6"/>
  <c r="AH154" i="6" s="1"/>
  <c r="B156" i="6"/>
  <c r="G156" i="6"/>
  <c r="O156" i="6"/>
  <c r="Q156" i="6"/>
  <c r="AF156" i="6" s="1"/>
  <c r="X156" i="6"/>
  <c r="Y156" i="6"/>
  <c r="Z156" i="6"/>
  <c r="AI156" i="6"/>
  <c r="AK156" i="6" s="1"/>
  <c r="G162" i="6"/>
  <c r="O162" i="6"/>
  <c r="X162" i="6"/>
  <c r="Y162" i="6"/>
  <c r="AB162" i="6"/>
  <c r="Z162" i="6"/>
  <c r="AE162" i="6"/>
  <c r="AH162" i="6"/>
  <c r="AI162" i="6"/>
  <c r="AJ162" i="6"/>
  <c r="AK162" i="6"/>
  <c r="B163" i="6"/>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3" i="6" s="1"/>
  <c r="B194" i="6" s="1"/>
  <c r="B195" i="6" s="1"/>
  <c r="B196" i="6" s="1"/>
  <c r="B197" i="6" s="1"/>
  <c r="B198" i="6" s="1"/>
  <c r="B199" i="6" s="1"/>
  <c r="B203" i="6" s="1"/>
  <c r="B204" i="6" s="1"/>
  <c r="B205" i="6" s="1"/>
  <c r="B206" i="6" s="1"/>
  <c r="G163" i="6"/>
  <c r="O163" i="6"/>
  <c r="V163" i="6"/>
  <c r="X163" i="6"/>
  <c r="Y163" i="6"/>
  <c r="AB163" i="6"/>
  <c r="Z163" i="6"/>
  <c r="AC163" i="6" s="1"/>
  <c r="AF163" i="6"/>
  <c r="AE163" i="6"/>
  <c r="AI163" i="6"/>
  <c r="AH163" i="6" s="1"/>
  <c r="AK163" i="6"/>
  <c r="AJ163" i="6"/>
  <c r="G164" i="6"/>
  <c r="AF164" i="6" s="1"/>
  <c r="O164" i="6"/>
  <c r="V164" i="6"/>
  <c r="X164" i="6"/>
  <c r="AD164" i="6"/>
  <c r="Y164" i="6"/>
  <c r="AB164" i="6"/>
  <c r="Z164" i="6"/>
  <c r="AA164" i="6"/>
  <c r="AC164" i="6"/>
  <c r="AE164" i="6"/>
  <c r="AI164" i="6"/>
  <c r="AJ164" i="6"/>
  <c r="G165" i="6"/>
  <c r="O165" i="6"/>
  <c r="X165" i="6"/>
  <c r="AD165" i="6" s="1"/>
  <c r="Y165" i="6"/>
  <c r="AB165" i="6" s="1"/>
  <c r="Z165" i="6"/>
  <c r="AC165" i="6" s="1"/>
  <c r="AF165" i="6"/>
  <c r="AA165" i="6"/>
  <c r="AI165" i="6"/>
  <c r="G166" i="6"/>
  <c r="O166" i="6"/>
  <c r="X166" i="6"/>
  <c r="Y166" i="6"/>
  <c r="AB166" i="6"/>
  <c r="Z166" i="6"/>
  <c r="AC166" i="6" s="1"/>
  <c r="AE166" i="6"/>
  <c r="AI166" i="6"/>
  <c r="AH166" i="6" s="1"/>
  <c r="AJ166" i="6"/>
  <c r="AK166" i="6"/>
  <c r="G167" i="6"/>
  <c r="O167" i="6"/>
  <c r="V167" i="6"/>
  <c r="X167" i="6"/>
  <c r="Y167" i="6"/>
  <c r="AB167" i="6"/>
  <c r="Z167" i="6"/>
  <c r="AC167" i="6" s="1"/>
  <c r="AF167" i="6"/>
  <c r="AE167" i="6"/>
  <c r="AI167" i="6"/>
  <c r="AH167" i="6" s="1"/>
  <c r="AK167" i="6"/>
  <c r="AJ167" i="6"/>
  <c r="G168" i="6"/>
  <c r="O168" i="6"/>
  <c r="V168" i="6"/>
  <c r="X168" i="6"/>
  <c r="Y168" i="6"/>
  <c r="AB168" i="6"/>
  <c r="Z168" i="6"/>
  <c r="AC168" i="6" s="1"/>
  <c r="AE168" i="6"/>
  <c r="AI168" i="6"/>
  <c r="AH168" i="6" s="1"/>
  <c r="AJ168" i="6"/>
  <c r="AK168" i="6"/>
  <c r="G169" i="6"/>
  <c r="O169" i="6"/>
  <c r="V169" i="6"/>
  <c r="W169" i="6"/>
  <c r="E16" i="10" s="1"/>
  <c r="X169" i="6"/>
  <c r="AD169" i="6" s="1"/>
  <c r="Y169" i="6"/>
  <c r="AB169" i="6"/>
  <c r="Z169" i="6"/>
  <c r="AF169" i="6"/>
  <c r="AA169" i="6"/>
  <c r="AC169" i="6"/>
  <c r="AI169" i="6"/>
  <c r="AK169" i="6"/>
  <c r="G170" i="6"/>
  <c r="O170" i="6"/>
  <c r="X170" i="6"/>
  <c r="AD170" i="6"/>
  <c r="Y170" i="6"/>
  <c r="Z170" i="6"/>
  <c r="AA170" i="6"/>
  <c r="AC170" i="6"/>
  <c r="AF170" i="6"/>
  <c r="AI170" i="6"/>
  <c r="G171" i="6"/>
  <c r="AC171" i="6" s="1"/>
  <c r="O171" i="6"/>
  <c r="X171" i="6"/>
  <c r="Y171" i="6"/>
  <c r="Z171" i="6"/>
  <c r="AI171" i="6"/>
  <c r="AH171" i="6" s="1"/>
  <c r="G172" i="6"/>
  <c r="AF172" i="6" s="1"/>
  <c r="O172" i="6"/>
  <c r="V172" i="6" s="1"/>
  <c r="X172" i="6"/>
  <c r="AD172" i="6"/>
  <c r="Y172" i="6"/>
  <c r="Z172" i="6"/>
  <c r="AA172" i="6"/>
  <c r="AC172" i="6"/>
  <c r="AI172" i="6"/>
  <c r="G173" i="6"/>
  <c r="AA173" i="6" s="1"/>
  <c r="O173" i="6"/>
  <c r="X173" i="6"/>
  <c r="Y173" i="6"/>
  <c r="Z173" i="6"/>
  <c r="AC173" i="6" s="1"/>
  <c r="AF173" i="6"/>
  <c r="AH173" i="6"/>
  <c r="AI173" i="6"/>
  <c r="G174" i="6"/>
  <c r="O174" i="6"/>
  <c r="X174" i="6"/>
  <c r="AD174" i="6" s="1"/>
  <c r="Y174" i="6"/>
  <c r="Z174" i="6"/>
  <c r="AH174" i="6"/>
  <c r="AI174" i="6"/>
  <c r="AK174" i="6"/>
  <c r="G175" i="6"/>
  <c r="O175" i="6"/>
  <c r="X175" i="6"/>
  <c r="Y175" i="6"/>
  <c r="AB175" i="6" s="1"/>
  <c r="Z175" i="6"/>
  <c r="AC175" i="6" s="1"/>
  <c r="AF175" i="6"/>
  <c r="AH175" i="6"/>
  <c r="AI175" i="6"/>
  <c r="G176" i="6"/>
  <c r="J176" i="6"/>
  <c r="O176" i="6"/>
  <c r="V176" i="6"/>
  <c r="X176" i="6"/>
  <c r="Y176" i="6"/>
  <c r="AE176" i="6" s="1"/>
  <c r="Z176" i="6"/>
  <c r="AC176" i="6"/>
  <c r="AD176" i="6"/>
  <c r="AI176" i="6"/>
  <c r="AN176" i="6"/>
  <c r="G177" i="6"/>
  <c r="J177" i="6"/>
  <c r="O177" i="6"/>
  <c r="W177" i="6"/>
  <c r="X177" i="6"/>
  <c r="Y177" i="6"/>
  <c r="Z177" i="6"/>
  <c r="AB177" i="6"/>
  <c r="AI177" i="6"/>
  <c r="AN177" i="6"/>
  <c r="G178" i="6"/>
  <c r="AA178" i="6" s="1"/>
  <c r="J178" i="6"/>
  <c r="O178" i="6"/>
  <c r="X178" i="6"/>
  <c r="Y178" i="6"/>
  <c r="Z178" i="6"/>
  <c r="AC178" i="6" s="1"/>
  <c r="AI178" i="6"/>
  <c r="AH178" i="6" s="1"/>
  <c r="AN178" i="6"/>
  <c r="G179" i="6"/>
  <c r="AA179" i="6" s="1"/>
  <c r="J179" i="6"/>
  <c r="O179" i="6"/>
  <c r="V179" i="6"/>
  <c r="X179" i="6"/>
  <c r="Y179" i="6"/>
  <c r="Z179" i="6"/>
  <c r="AC179" i="6" s="1"/>
  <c r="AB179" i="6"/>
  <c r="AI179" i="6"/>
  <c r="G180" i="6"/>
  <c r="AD180" i="6"/>
  <c r="J180" i="6"/>
  <c r="O180" i="6"/>
  <c r="V180" i="6"/>
  <c r="X180" i="6"/>
  <c r="Y180" i="6"/>
  <c r="Z180" i="6"/>
  <c r="AB180" i="6"/>
  <c r="AI180" i="6"/>
  <c r="AN180" i="6"/>
  <c r="G181" i="6"/>
  <c r="AB181" i="6" s="1"/>
  <c r="J181" i="6"/>
  <c r="O181" i="6"/>
  <c r="V181" i="6"/>
  <c r="X181" i="6"/>
  <c r="Y181" i="6"/>
  <c r="Z181" i="6"/>
  <c r="AF181" i="6"/>
  <c r="AC181" i="6"/>
  <c r="AI181" i="6"/>
  <c r="AK181" i="6"/>
  <c r="AN181" i="6"/>
  <c r="G182" i="6"/>
  <c r="O182" i="6"/>
  <c r="V182" i="6" s="1"/>
  <c r="X182" i="6"/>
  <c r="AA182" i="6"/>
  <c r="Y182" i="6"/>
  <c r="Z182" i="6"/>
  <c r="AB182" i="6"/>
  <c r="AD182" i="6"/>
  <c r="AI182" i="6"/>
  <c r="AK182" i="6" s="1"/>
  <c r="G183" i="6"/>
  <c r="J183" i="6"/>
  <c r="O183" i="6"/>
  <c r="V183" i="6"/>
  <c r="X183" i="6"/>
  <c r="AD183" i="6" s="1"/>
  <c r="Y183" i="6"/>
  <c r="Z183" i="6"/>
  <c r="AB183" i="6"/>
  <c r="AF183" i="6"/>
  <c r="AI183" i="6"/>
  <c r="AK183" i="6"/>
  <c r="AN183" i="6"/>
  <c r="G184" i="6"/>
  <c r="AA184" i="6" s="1"/>
  <c r="J184" i="6"/>
  <c r="O184" i="6"/>
  <c r="X184" i="6"/>
  <c r="Y184" i="6"/>
  <c r="Z184" i="6"/>
  <c r="AI184" i="6"/>
  <c r="AH184" i="6" s="1"/>
  <c r="AN184" i="6"/>
  <c r="G185" i="6"/>
  <c r="AA185" i="6" s="1"/>
  <c r="J185" i="6"/>
  <c r="O185" i="6"/>
  <c r="W185" i="6"/>
  <c r="V185" i="6"/>
  <c r="X185" i="6"/>
  <c r="Y185" i="6"/>
  <c r="Z185" i="6"/>
  <c r="AC185" i="6" s="1"/>
  <c r="AB185" i="6"/>
  <c r="AI185" i="6"/>
  <c r="AK185" i="6" s="1"/>
  <c r="G186" i="6"/>
  <c r="AD186" i="6"/>
  <c r="J186" i="6"/>
  <c r="O186" i="6"/>
  <c r="V186" i="6"/>
  <c r="X186" i="6"/>
  <c r="Y186" i="6"/>
  <c r="AB186" i="6" s="1"/>
  <c r="AE186" i="6"/>
  <c r="Z186" i="6"/>
  <c r="AF186" i="6" s="1"/>
  <c r="AI186" i="6"/>
  <c r="AK186" i="6"/>
  <c r="AN186" i="6"/>
  <c r="G187" i="6"/>
  <c r="J187" i="6"/>
  <c r="O187" i="6"/>
  <c r="V187" i="6"/>
  <c r="X187" i="6"/>
  <c r="AD187" i="6"/>
  <c r="Y187" i="6"/>
  <c r="AB187" i="6"/>
  <c r="Z187" i="6"/>
  <c r="AC187" i="6" s="1"/>
  <c r="AA187" i="6"/>
  <c r="AE187" i="6"/>
  <c r="AF187" i="6"/>
  <c r="AH187" i="6"/>
  <c r="AI187" i="6"/>
  <c r="AJ187" i="6"/>
  <c r="AK187" i="6"/>
  <c r="AN187" i="6"/>
  <c r="G188" i="6"/>
  <c r="J188" i="6"/>
  <c r="O188" i="6"/>
  <c r="V188" i="6"/>
  <c r="X188" i="6"/>
  <c r="AD188" i="6" s="1"/>
  <c r="Y188" i="6"/>
  <c r="AB188" i="6" s="1"/>
  <c r="Z188" i="6"/>
  <c r="AF188" i="6"/>
  <c r="AI188" i="6"/>
  <c r="AK188" i="6" s="1"/>
  <c r="G189" i="6"/>
  <c r="J189" i="6"/>
  <c r="O189" i="6"/>
  <c r="V189" i="6"/>
  <c r="X189" i="6"/>
  <c r="AD189" i="6" s="1"/>
  <c r="AA189" i="6"/>
  <c r="Y189" i="6"/>
  <c r="Z189" i="6"/>
  <c r="AC189" i="6"/>
  <c r="AB189" i="6"/>
  <c r="AI189" i="6"/>
  <c r="AK189" i="6"/>
  <c r="AN189" i="6"/>
  <c r="G193" i="6"/>
  <c r="O193" i="6"/>
  <c r="V193" i="6"/>
  <c r="W193" i="6"/>
  <c r="X193" i="6"/>
  <c r="AD193" i="6"/>
  <c r="Y193" i="6"/>
  <c r="AB193" i="6"/>
  <c r="Z193" i="6"/>
  <c r="AA193" i="6"/>
  <c r="AC193" i="6"/>
  <c r="AE193" i="6"/>
  <c r="AF193" i="6"/>
  <c r="AI193" i="6"/>
  <c r="AK193" i="6" s="1"/>
  <c r="AJ193" i="6"/>
  <c r="G194" i="6"/>
  <c r="O194" i="6"/>
  <c r="V194" i="6"/>
  <c r="X194" i="6"/>
  <c r="Y194" i="6"/>
  <c r="AE194" i="6" s="1"/>
  <c r="AB194" i="6"/>
  <c r="Z194" i="6"/>
  <c r="AF194" i="6" s="1"/>
  <c r="AA194" i="6"/>
  <c r="AD194" i="6"/>
  <c r="AI194" i="6"/>
  <c r="AJ194" i="6" s="1"/>
  <c r="AK194" i="6"/>
  <c r="G195" i="6"/>
  <c r="AF195" i="6" s="1"/>
  <c r="O195" i="6"/>
  <c r="V195" i="6"/>
  <c r="X195" i="6"/>
  <c r="AD195" i="6"/>
  <c r="Y195" i="6"/>
  <c r="AB195" i="6"/>
  <c r="Z195" i="6"/>
  <c r="AA195" i="6"/>
  <c r="AC195" i="6"/>
  <c r="AE195" i="6"/>
  <c r="AI195" i="6"/>
  <c r="AK195" i="6" s="1"/>
  <c r="AJ195" i="6"/>
  <c r="G196" i="6"/>
  <c r="O196" i="6"/>
  <c r="W196" i="6" s="1"/>
  <c r="V196" i="6"/>
  <c r="X196" i="6"/>
  <c r="AD196" i="6" s="1"/>
  <c r="Y196" i="6"/>
  <c r="AB196" i="6"/>
  <c r="Z196" i="6"/>
  <c r="AF196" i="6"/>
  <c r="AA196" i="6"/>
  <c r="AC196" i="6"/>
  <c r="AI196" i="6"/>
  <c r="AJ196" i="6" s="1"/>
  <c r="AK196" i="6"/>
  <c r="G197" i="6"/>
  <c r="O197" i="6"/>
  <c r="W197" i="6" s="1"/>
  <c r="V197" i="6"/>
  <c r="X197" i="6"/>
  <c r="AD197" i="6"/>
  <c r="Y197" i="6"/>
  <c r="AB197" i="6" s="1"/>
  <c r="Z197" i="6"/>
  <c r="AA197" i="6"/>
  <c r="AC197" i="6"/>
  <c r="AF197" i="6"/>
  <c r="AI197" i="6"/>
  <c r="AJ197" i="6" s="1"/>
  <c r="G198" i="6"/>
  <c r="AF198" i="6" s="1"/>
  <c r="O198" i="6"/>
  <c r="V198" i="6" s="1"/>
  <c r="X198" i="6"/>
  <c r="AD198" i="6" s="1"/>
  <c r="Y198" i="6"/>
  <c r="AE198" i="6" s="1"/>
  <c r="AB198" i="6"/>
  <c r="Z198" i="6"/>
  <c r="AA198" i="6"/>
  <c r="AC198" i="6"/>
  <c r="AI198" i="6"/>
  <c r="AK198" i="6" s="1"/>
  <c r="G199" i="6"/>
  <c r="AF199" i="6" s="1"/>
  <c r="O199" i="6"/>
  <c r="V199" i="6" s="1"/>
  <c r="X199" i="6"/>
  <c r="AD199" i="6"/>
  <c r="Y199" i="6"/>
  <c r="AB199" i="6" s="1"/>
  <c r="Z199" i="6"/>
  <c r="AA199" i="6"/>
  <c r="AC199" i="6"/>
  <c r="AI199" i="6"/>
  <c r="AJ199" i="6" s="1"/>
  <c r="G203" i="6"/>
  <c r="AF203" i="6" s="1"/>
  <c r="J203" i="6"/>
  <c r="O203" i="6"/>
  <c r="V203" i="6"/>
  <c r="W203" i="6"/>
  <c r="X203" i="6"/>
  <c r="Y203" i="6"/>
  <c r="AB203" i="6"/>
  <c r="Z203" i="6"/>
  <c r="AC203" i="6"/>
  <c r="AE203" i="6"/>
  <c r="AI203" i="6"/>
  <c r="AK203" i="6" s="1"/>
  <c r="AJ203" i="6"/>
  <c r="G204" i="6"/>
  <c r="O204" i="6"/>
  <c r="V204" i="6"/>
  <c r="X204" i="6"/>
  <c r="Y204" i="6"/>
  <c r="AE204" i="6" s="1"/>
  <c r="AB204" i="6"/>
  <c r="Z204" i="6"/>
  <c r="AF204" i="6" s="1"/>
  <c r="AA204" i="6"/>
  <c r="AD204" i="6"/>
  <c r="AI204" i="6"/>
  <c r="AK204" i="6"/>
  <c r="G205" i="6"/>
  <c r="AE205" i="6" s="1"/>
  <c r="O205" i="6"/>
  <c r="X205" i="6"/>
  <c r="Y205" i="6"/>
  <c r="Z205" i="6"/>
  <c r="AC205" i="6"/>
  <c r="AI205" i="6"/>
  <c r="AJ205" i="6" s="1"/>
  <c r="G206" i="6"/>
  <c r="AF206" i="6" s="1"/>
  <c r="O206" i="6"/>
  <c r="W206" i="6" s="1"/>
  <c r="X206" i="6"/>
  <c r="Y206" i="6"/>
  <c r="AB206" i="6"/>
  <c r="Z206" i="6"/>
  <c r="AA206" i="6"/>
  <c r="AD206" i="6"/>
  <c r="AI206" i="6"/>
  <c r="AH206" i="6" s="1"/>
  <c r="AK206" i="6"/>
  <c r="AJ206" i="6"/>
  <c r="G211" i="6"/>
  <c r="O211" i="6"/>
  <c r="W211" i="6"/>
  <c r="E18" i="10"/>
  <c r="X211" i="6"/>
  <c r="AA211" i="6"/>
  <c r="Y211" i="6"/>
  <c r="AE211" i="6"/>
  <c r="Z211" i="6"/>
  <c r="AC211" i="6"/>
  <c r="AF211" i="6"/>
  <c r="AI211" i="6"/>
  <c r="AH211" i="6" s="1"/>
  <c r="B212" i="6"/>
  <c r="B213" i="6"/>
  <c r="B214" i="6"/>
  <c r="B215" i="6"/>
  <c r="B216" i="6" s="1"/>
  <c r="B217" i="6" s="1"/>
  <c r="B218" i="6" s="1"/>
  <c r="B222" i="6" s="1"/>
  <c r="B223" i="6" s="1"/>
  <c r="B224" i="6" s="1"/>
  <c r="B225" i="6" s="1"/>
  <c r="B226" i="6" s="1"/>
  <c r="B227" i="6" s="1"/>
  <c r="B228" i="6" s="1"/>
  <c r="G212" i="6"/>
  <c r="AC212" i="6" s="1"/>
  <c r="O212" i="6"/>
  <c r="V212" i="6" s="1"/>
  <c r="X212" i="6"/>
  <c r="AD212" i="6" s="1"/>
  <c r="Y212" i="6"/>
  <c r="AB212" i="6" s="1"/>
  <c r="Z212" i="6"/>
  <c r="AA212" i="6"/>
  <c r="AF212" i="6"/>
  <c r="AI212" i="6"/>
  <c r="AH212" i="6" s="1"/>
  <c r="G213" i="6"/>
  <c r="AC213" i="6" s="1"/>
  <c r="O213" i="6"/>
  <c r="X213" i="6"/>
  <c r="Y213" i="6"/>
  <c r="Z213" i="6"/>
  <c r="AI213" i="6"/>
  <c r="AH213" i="6" s="1"/>
  <c r="G214" i="6"/>
  <c r="AC214" i="6" s="1"/>
  <c r="O214" i="6"/>
  <c r="W214" i="6" s="1"/>
  <c r="X214" i="6"/>
  <c r="AA214" i="6" s="1"/>
  <c r="Y214" i="6"/>
  <c r="Z214" i="6"/>
  <c r="AI214" i="6"/>
  <c r="AK214" i="6" s="1"/>
  <c r="G215" i="6"/>
  <c r="AB215" i="6" s="1"/>
  <c r="O215" i="6"/>
  <c r="X215" i="6"/>
  <c r="AA215" i="6" s="1"/>
  <c r="Y215" i="6"/>
  <c r="AE215" i="6"/>
  <c r="Z215" i="6"/>
  <c r="AC215" i="6"/>
  <c r="AI215" i="6"/>
  <c r="G216" i="6"/>
  <c r="AC216" i="6" s="1"/>
  <c r="J216" i="6"/>
  <c r="O216" i="6"/>
  <c r="X216" i="6"/>
  <c r="Y216" i="6"/>
  <c r="AB216" i="6" s="1"/>
  <c r="Z216" i="6"/>
  <c r="AI216" i="6"/>
  <c r="AJ216" i="6" s="1"/>
  <c r="G217" i="6"/>
  <c r="J217" i="6"/>
  <c r="O217" i="6"/>
  <c r="V217" i="6" s="1"/>
  <c r="X217" i="6"/>
  <c r="Y217" i="6"/>
  <c r="AB217" i="6" s="1"/>
  <c r="Z217" i="6"/>
  <c r="AC217" i="6"/>
  <c r="AI217" i="6"/>
  <c r="G218" i="6"/>
  <c r="AC218" i="6" s="1"/>
  <c r="J218" i="6"/>
  <c r="O218" i="6"/>
  <c r="X218" i="6"/>
  <c r="Y218" i="6"/>
  <c r="AE218" i="6" s="1"/>
  <c r="Z218" i="6"/>
  <c r="AI218" i="6"/>
  <c r="AK218" i="6" s="1"/>
  <c r="G222" i="6"/>
  <c r="O222" i="6"/>
  <c r="V222" i="6" s="1"/>
  <c r="W222" i="6"/>
  <c r="X222" i="6"/>
  <c r="Y222" i="6"/>
  <c r="AB222" i="6" s="1"/>
  <c r="Z222" i="6"/>
  <c r="AA222" i="6"/>
  <c r="AD222" i="6"/>
  <c r="AF222" i="6"/>
  <c r="AI222" i="6"/>
  <c r="AH222" i="6" s="1"/>
  <c r="G223" i="6"/>
  <c r="V223" i="6" s="1"/>
  <c r="AF223" i="6"/>
  <c r="O223" i="6"/>
  <c r="X223" i="6"/>
  <c r="Y223" i="6"/>
  <c r="AE223" i="6" s="1"/>
  <c r="Z223" i="6"/>
  <c r="AC223" i="6"/>
  <c r="AI223" i="6"/>
  <c r="AH223" i="6" s="1"/>
  <c r="AK223" i="6"/>
  <c r="G224" i="6"/>
  <c r="AK224" i="6" s="1"/>
  <c r="O224" i="6"/>
  <c r="W224" i="6" s="1"/>
  <c r="X224" i="6"/>
  <c r="AD224" i="6" s="1"/>
  <c r="Y224" i="6"/>
  <c r="Z224" i="6"/>
  <c r="AI224" i="6"/>
  <c r="G225" i="6"/>
  <c r="O225" i="6"/>
  <c r="V225" i="6" s="1"/>
  <c r="X225" i="6"/>
  <c r="Y225" i="6"/>
  <c r="AE225" i="6"/>
  <c r="Z225" i="6"/>
  <c r="AF225" i="6" s="1"/>
  <c r="AI225" i="6"/>
  <c r="G226" i="6"/>
  <c r="AB226" i="6" s="1"/>
  <c r="O226" i="6"/>
  <c r="X226" i="6"/>
  <c r="AA226" i="6" s="1"/>
  <c r="Y226" i="6"/>
  <c r="Z226" i="6"/>
  <c r="AF226" i="6"/>
  <c r="AI226" i="6"/>
  <c r="AK226" i="6"/>
  <c r="G227" i="6"/>
  <c r="O227" i="6"/>
  <c r="X227" i="6"/>
  <c r="Y227" i="6"/>
  <c r="AE227" i="6" s="1"/>
  <c r="Z227" i="6"/>
  <c r="AI227" i="6"/>
  <c r="AK227" i="6" s="1"/>
  <c r="G228" i="6"/>
  <c r="O228" i="6"/>
  <c r="W228" i="6" s="1"/>
  <c r="V228" i="6"/>
  <c r="X228" i="6"/>
  <c r="Y228" i="6"/>
  <c r="Z228" i="6"/>
  <c r="AB228" i="6"/>
  <c r="AI228" i="6"/>
  <c r="AK228" i="6"/>
  <c r="J9" i="7"/>
  <c r="H11" i="7"/>
  <c r="H13" i="7"/>
  <c r="H15" i="7"/>
  <c r="H17" i="7"/>
  <c r="E19" i="7"/>
  <c r="J19" i="7"/>
  <c r="H21" i="7"/>
  <c r="C23" i="7"/>
  <c r="F32" i="4" s="1"/>
  <c r="H23" i="7"/>
  <c r="E25" i="7"/>
  <c r="C27" i="7"/>
  <c r="F34" i="4" s="1"/>
  <c r="H27" i="7"/>
  <c r="D32" i="7"/>
  <c r="E32" i="7"/>
  <c r="F32" i="7"/>
  <c r="G32" i="7"/>
  <c r="H32" i="7"/>
  <c r="I32" i="7"/>
  <c r="J32" i="7"/>
  <c r="D34" i="7"/>
  <c r="E34" i="7"/>
  <c r="F34" i="7"/>
  <c r="G34" i="7"/>
  <c r="H34" i="7"/>
  <c r="I34" i="7"/>
  <c r="J34" i="7"/>
  <c r="D35" i="4"/>
  <c r="AC228" i="6"/>
  <c r="AF228" i="6"/>
  <c r="AF227" i="6"/>
  <c r="AC227" i="6"/>
  <c r="AF218" i="6"/>
  <c r="AF217" i="6"/>
  <c r="AF216" i="6"/>
  <c r="AF215" i="6"/>
  <c r="AF213" i="6"/>
  <c r="AH108" i="6"/>
  <c r="AJ108" i="6"/>
  <c r="AK108" i="6"/>
  <c r="AH228" i="6"/>
  <c r="AJ228" i="6"/>
  <c r="AD227" i="6"/>
  <c r="AJ225" i="6"/>
  <c r="AH225" i="6"/>
  <c r="AK225" i="6"/>
  <c r="AF224" i="6"/>
  <c r="AA218" i="6"/>
  <c r="AD218" i="6"/>
  <c r="AA217" i="6"/>
  <c r="AD217" i="6"/>
  <c r="AA216" i="6"/>
  <c r="AD216" i="6"/>
  <c r="AD215" i="6"/>
  <c r="AJ211" i="6"/>
  <c r="AE228" i="6"/>
  <c r="AA228" i="6"/>
  <c r="AD228" i="6"/>
  <c r="V227" i="6"/>
  <c r="AA225" i="6"/>
  <c r="AD225" i="6"/>
  <c r="AJ224" i="6"/>
  <c r="AD223" i="6"/>
  <c r="W218" i="6"/>
  <c r="V218" i="6"/>
  <c r="W217" i="6"/>
  <c r="W216" i="6"/>
  <c r="V216" i="6"/>
  <c r="W215" i="6"/>
  <c r="V215" i="6"/>
  <c r="AD214" i="6"/>
  <c r="W225" i="6"/>
  <c r="AJ218" i="6"/>
  <c r="AJ217" i="6"/>
  <c r="AK217" i="6"/>
  <c r="AH217" i="6"/>
  <c r="AH216" i="6"/>
  <c r="AJ215" i="6"/>
  <c r="AK215" i="6"/>
  <c r="AH215" i="6"/>
  <c r="AJ227" i="6"/>
  <c r="AA227" i="6"/>
  <c r="W223" i="6"/>
  <c r="AA213" i="6"/>
  <c r="AD211" i="6"/>
  <c r="AE206" i="6"/>
  <c r="AA205" i="6"/>
  <c r="AJ204" i="6"/>
  <c r="W195" i="6"/>
  <c r="AF189" i="6"/>
  <c r="AC188" i="6"/>
  <c r="W187" i="6"/>
  <c r="AJ186" i="6"/>
  <c r="AH186" i="6"/>
  <c r="AC186" i="6"/>
  <c r="W186" i="6"/>
  <c r="AH183" i="6"/>
  <c r="AJ183" i="6"/>
  <c r="AC183" i="6"/>
  <c r="AA180" i="6"/>
  <c r="AF179" i="6"/>
  <c r="AF177" i="6"/>
  <c r="AE173" i="6"/>
  <c r="W168" i="6"/>
  <c r="E15" i="10"/>
  <c r="AE165" i="6"/>
  <c r="W163" i="6"/>
  <c r="E10" i="10"/>
  <c r="AI138" i="6"/>
  <c r="AA137" i="6"/>
  <c r="AH135" i="6"/>
  <c r="AJ135" i="6"/>
  <c r="AC135" i="6"/>
  <c r="AA134" i="6"/>
  <c r="P134" i="6"/>
  <c r="AH132" i="6"/>
  <c r="AA131" i="6"/>
  <c r="P131" i="6"/>
  <c r="AB130" i="6"/>
  <c r="V130" i="6"/>
  <c r="W130" i="6"/>
  <c r="AE129" i="6"/>
  <c r="AB129" i="6"/>
  <c r="AH126" i="6"/>
  <c r="AJ126" i="6"/>
  <c r="AC126" i="6"/>
  <c r="P125" i="6"/>
  <c r="AH123" i="6"/>
  <c r="AJ123" i="6"/>
  <c r="AC123" i="6"/>
  <c r="P122" i="6"/>
  <c r="AA119" i="6"/>
  <c r="AH117" i="6"/>
  <c r="AJ117" i="6"/>
  <c r="AC117" i="6"/>
  <c r="P116" i="6"/>
  <c r="AB115" i="6"/>
  <c r="V115" i="6"/>
  <c r="W115" i="6"/>
  <c r="AE114" i="6"/>
  <c r="AB114" i="6"/>
  <c r="AC108" i="6"/>
  <c r="AL98" i="6"/>
  <c r="AJ185" i="6"/>
  <c r="AH185" i="6"/>
  <c r="AH182" i="6"/>
  <c r="AJ182" i="6"/>
  <c r="W180" i="6"/>
  <c r="AE180" i="6"/>
  <c r="AF154" i="6"/>
  <c r="W135" i="6"/>
  <c r="AE135" i="6"/>
  <c r="AJ133" i="6"/>
  <c r="AH133" i="6"/>
  <c r="AJ130" i="6"/>
  <c r="AC130" i="6"/>
  <c r="V129" i="6"/>
  <c r="AI129" i="6"/>
  <c r="AJ129" i="6" s="1"/>
  <c r="W126" i="6"/>
  <c r="AE126" i="6"/>
  <c r="W123" i="6"/>
  <c r="W117" i="6"/>
  <c r="AE117" i="6"/>
  <c r="AJ115" i="6"/>
  <c r="AH115" i="6"/>
  <c r="AC115" i="6"/>
  <c r="V114" i="6"/>
  <c r="AI114" i="6"/>
  <c r="AH114" i="6" s="1"/>
  <c r="AE108" i="6"/>
  <c r="AI83" i="6"/>
  <c r="Z83" i="6"/>
  <c r="Z82" i="6"/>
  <c r="AC82" i="6" s="1"/>
  <c r="AI81" i="6"/>
  <c r="Z81" i="6"/>
  <c r="AI80" i="6"/>
  <c r="Z80" i="6"/>
  <c r="AK77" i="6"/>
  <c r="AH73" i="6"/>
  <c r="AB42" i="6"/>
  <c r="W227" i="6"/>
  <c r="AB225" i="6"/>
  <c r="AJ223" i="6"/>
  <c r="AA223" i="6"/>
  <c r="AE222" i="6"/>
  <c r="AC222" i="6"/>
  <c r="AE217" i="6"/>
  <c r="W213" i="6"/>
  <c r="AB211" i="6"/>
  <c r="V211" i="6"/>
  <c r="AC206" i="6"/>
  <c r="AH204" i="6"/>
  <c r="W204" i="6"/>
  <c r="AE196" i="6"/>
  <c r="W194" i="6"/>
  <c r="E17" i="10" s="1"/>
  <c r="W189" i="6"/>
  <c r="AE189" i="6"/>
  <c r="AA188" i="6"/>
  <c r="AA186" i="6"/>
  <c r="AF185" i="6"/>
  <c r="AE185" i="6"/>
  <c r="AA183" i="6"/>
  <c r="AF182" i="6"/>
  <c r="W182" i="6"/>
  <c r="AE182" i="6"/>
  <c r="W181" i="6"/>
  <c r="AH180" i="6"/>
  <c r="AJ180" i="6"/>
  <c r="AC180" i="6"/>
  <c r="W179" i="6"/>
  <c r="AE179" i="6"/>
  <c r="W176" i="6"/>
  <c r="W175" i="6"/>
  <c r="W172" i="6"/>
  <c r="AE169" i="6"/>
  <c r="W167" i="6"/>
  <c r="E14" i="10"/>
  <c r="W164" i="6"/>
  <c r="E11" i="10" s="1"/>
  <c r="AJ152" i="6"/>
  <c r="AC152" i="6"/>
  <c r="AE151" i="6"/>
  <c r="AJ137" i="6"/>
  <c r="AH137" i="6"/>
  <c r="AC137" i="6"/>
  <c r="AI136" i="6"/>
  <c r="AD135" i="6"/>
  <c r="AA135" i="6"/>
  <c r="AE134" i="6"/>
  <c r="AB134" i="6"/>
  <c r="AF133" i="6"/>
  <c r="AE131" i="6"/>
  <c r="AB131" i="6"/>
  <c r="AF130" i="6"/>
  <c r="AE130" i="6"/>
  <c r="AA129" i="6"/>
  <c r="W129" i="6"/>
  <c r="W127" i="6"/>
  <c r="AD126" i="6"/>
  <c r="AA126" i="6"/>
  <c r="AD123" i="6"/>
  <c r="AA123" i="6"/>
  <c r="AI120" i="6"/>
  <c r="AC119" i="6"/>
  <c r="AI118" i="6"/>
  <c r="AD117" i="6"/>
  <c r="AA117" i="6"/>
  <c r="AF115" i="6"/>
  <c r="AE115" i="6"/>
  <c r="AA114" i="6"/>
  <c r="W114" i="6"/>
  <c r="T109" i="6"/>
  <c r="AB109" i="6" s="1"/>
  <c r="AF109" i="6"/>
  <c r="AK109" i="6"/>
  <c r="AD108" i="6"/>
  <c r="AA108" i="6"/>
  <c r="T107" i="6"/>
  <c r="AF107" i="6" s="1"/>
  <c r="AK70" i="6"/>
  <c r="AH189" i="6"/>
  <c r="AJ189" i="6"/>
  <c r="W188" i="6"/>
  <c r="W183" i="6"/>
  <c r="AE183" i="6"/>
  <c r="AF180" i="6"/>
  <c r="AH179" i="6"/>
  <c r="AJ179" i="6"/>
  <c r="AJ177" i="6"/>
  <c r="AH177" i="6"/>
  <c r="AF153" i="6"/>
  <c r="AK135" i="6"/>
  <c r="AB135" i="6"/>
  <c r="V135" i="6"/>
  <c r="V134" i="6"/>
  <c r="AI134" i="6"/>
  <c r="AK132" i="6"/>
  <c r="V131" i="6"/>
  <c r="AI131" i="6"/>
  <c r="AH131" i="6" s="1"/>
  <c r="AA130" i="6"/>
  <c r="AF129" i="6"/>
  <c r="AJ127" i="6"/>
  <c r="AK126" i="6"/>
  <c r="AB126" i="6"/>
  <c r="V126" i="6"/>
  <c r="V125" i="6"/>
  <c r="AI125" i="6"/>
  <c r="AK123" i="6"/>
  <c r="V123" i="6"/>
  <c r="AI122" i="6"/>
  <c r="AK117" i="6"/>
  <c r="AB117" i="6"/>
  <c r="V117" i="6"/>
  <c r="AI116" i="6"/>
  <c r="AA115" i="6"/>
  <c r="AF114" i="6"/>
  <c r="AD109" i="6"/>
  <c r="AB108" i="6"/>
  <c r="V108" i="6"/>
  <c r="W108" i="6"/>
  <c r="AL108" i="6" s="1"/>
  <c r="O86" i="6"/>
  <c r="V86" i="6" s="1"/>
  <c r="Y86" i="6"/>
  <c r="AE86" i="6" s="1"/>
  <c r="O85" i="6"/>
  <c r="O83" i="6"/>
  <c r="Y83" i="6"/>
  <c r="O82" i="6"/>
  <c r="V82" i="6" s="1"/>
  <c r="Y82" i="6"/>
  <c r="AE82" i="6" s="1"/>
  <c r="O81" i="6"/>
  <c r="Y81" i="6"/>
  <c r="O80" i="6"/>
  <c r="Y80" i="6"/>
  <c r="O79" i="6"/>
  <c r="V79" i="6" s="1"/>
  <c r="AE57" i="6"/>
  <c r="AB53" i="6"/>
  <c r="W27" i="6"/>
  <c r="AL27" i="6" s="1"/>
  <c r="V27" i="6"/>
  <c r="AK66" i="6"/>
  <c r="AD33" i="6"/>
  <c r="AE30" i="6"/>
  <c r="AE25" i="6"/>
  <c r="AA18" i="6"/>
  <c r="AD16" i="6"/>
  <c r="AD30" i="6"/>
  <c r="AD26" i="6"/>
  <c r="AJ17" i="6"/>
  <c r="G14" i="6"/>
  <c r="G12" i="6"/>
  <c r="G9" i="6"/>
  <c r="G7" i="6"/>
  <c r="AK7" i="6" s="1"/>
  <c r="AC18" i="6"/>
  <c r="Y18" i="6"/>
  <c r="AB18" i="6" s="1"/>
  <c r="O18" i="6"/>
  <c r="W18" i="6" s="1"/>
  <c r="AL18" i="6" s="1"/>
  <c r="Y17" i="6"/>
  <c r="O17" i="6"/>
  <c r="V17" i="6" s="1"/>
  <c r="Y16" i="6"/>
  <c r="O16" i="6"/>
  <c r="W16" i="6" s="1"/>
  <c r="Y15" i="6"/>
  <c r="O15" i="6"/>
  <c r="Y14" i="6"/>
  <c r="O14" i="6"/>
  <c r="Y13" i="6"/>
  <c r="O13" i="6"/>
  <c r="Y12" i="6"/>
  <c r="O12" i="6"/>
  <c r="Y11" i="6"/>
  <c r="O11" i="6"/>
  <c r="O10" i="6"/>
  <c r="Y9" i="6"/>
  <c r="O9" i="6"/>
  <c r="Y8" i="6"/>
  <c r="O8" i="6"/>
  <c r="AH7" i="6"/>
  <c r="Y7" i="6"/>
  <c r="O7" i="6"/>
  <c r="Y6" i="6"/>
  <c r="O6" i="6"/>
  <c r="Y5" i="6"/>
  <c r="O5" i="6"/>
  <c r="AK134" i="6"/>
  <c r="AH134" i="6"/>
  <c r="AJ134" i="6"/>
  <c r="AK107" i="6"/>
  <c r="AK131" i="6"/>
  <c r="AB80" i="6"/>
  <c r="AC109" i="6"/>
  <c r="AJ109" i="6"/>
  <c r="AE109" i="6"/>
  <c r="AH109" i="6"/>
  <c r="W109" i="6"/>
  <c r="AL109" i="6" s="1"/>
  <c r="AA109" i="6"/>
  <c r="V109" i="6"/>
  <c r="AK125" i="6"/>
  <c r="AC107" i="6"/>
  <c r="AH107" i="6"/>
  <c r="W107" i="6"/>
  <c r="AK114" i="6"/>
  <c r="AH129" i="6"/>
  <c r="AD74" i="6" l="1"/>
  <c r="AJ9" i="6"/>
  <c r="AD59" i="6"/>
  <c r="AA16" i="6"/>
  <c r="W86" i="6"/>
  <c r="AK12" i="6"/>
  <c r="AH18" i="6"/>
  <c r="V69" i="6"/>
  <c r="AH14" i="6"/>
  <c r="AJ12" i="6"/>
  <c r="AC80" i="6"/>
  <c r="AE24" i="6"/>
  <c r="AH5" i="6"/>
  <c r="AE152" i="6"/>
  <c r="AJ154" i="6"/>
  <c r="AF151" i="6"/>
  <c r="AB154" i="6"/>
  <c r="AH151" i="6"/>
  <c r="V152" i="6"/>
  <c r="AF152" i="6"/>
  <c r="AB151" i="6"/>
  <c r="AA14" i="6"/>
  <c r="V12" i="6"/>
  <c r="AE80" i="6"/>
  <c r="G27" i="7"/>
  <c r="I25" i="7"/>
  <c r="F21" i="7"/>
  <c r="D19" i="7"/>
  <c r="E15" i="7"/>
  <c r="E11" i="7"/>
  <c r="G7" i="7"/>
  <c r="T68" i="6"/>
  <c r="AL68" i="6"/>
  <c r="Z23" i="6"/>
  <c r="AI23" i="6"/>
  <c r="AH23" i="6" s="1"/>
  <c r="O23" i="6"/>
  <c r="V23" i="6" s="1"/>
  <c r="X23" i="6"/>
  <c r="AK9" i="6"/>
  <c r="V9" i="6"/>
  <c r="AB14" i="6"/>
  <c r="AB24" i="6"/>
  <c r="V25" i="6"/>
  <c r="AB49" i="6"/>
  <c r="AE59" i="6"/>
  <c r="W80" i="6"/>
  <c r="O84" i="6"/>
  <c r="AH127" i="6"/>
  <c r="AB107" i="6"/>
  <c r="AJ69" i="6"/>
  <c r="AI79" i="6"/>
  <c r="E27" i="7"/>
  <c r="H25" i="7"/>
  <c r="C25" i="7"/>
  <c r="F33" i="4" s="1"/>
  <c r="E23" i="7"/>
  <c r="J21" i="7"/>
  <c r="E21" i="7"/>
  <c r="H19" i="7"/>
  <c r="J17" i="7"/>
  <c r="D17" i="7"/>
  <c r="D15" i="7"/>
  <c r="D13" i="7"/>
  <c r="D11" i="7"/>
  <c r="F9" i="7"/>
  <c r="T138" i="6"/>
  <c r="AD138" i="6"/>
  <c r="T120" i="6"/>
  <c r="AB120" i="6"/>
  <c r="X82" i="6"/>
  <c r="AI82" i="6"/>
  <c r="Y71" i="6"/>
  <c r="AE71" i="6" s="1"/>
  <c r="Z71" i="6"/>
  <c r="O71" i="6"/>
  <c r="AI71" i="6"/>
  <c r="T54" i="6"/>
  <c r="AA54" i="6" s="1"/>
  <c r="AL54" i="6"/>
  <c r="Y45" i="6"/>
  <c r="AB45" i="6" s="1"/>
  <c r="X45" i="6"/>
  <c r="AA45" i="6" s="1"/>
  <c r="Y23" i="6"/>
  <c r="T20" i="6"/>
  <c r="AL20" i="6"/>
  <c r="AH17" i="6"/>
  <c r="X84" i="6"/>
  <c r="AI84" i="6"/>
  <c r="AJ84" i="6" s="1"/>
  <c r="Y65" i="6"/>
  <c r="AB65" i="6" s="1"/>
  <c r="AI65" i="6"/>
  <c r="O65" i="6"/>
  <c r="V14" i="6"/>
  <c r="AD14" i="6"/>
  <c r="AD49" i="6"/>
  <c r="Y84" i="6"/>
  <c r="Z79" i="6"/>
  <c r="D25" i="7"/>
  <c r="G23" i="7"/>
  <c r="I19" i="7"/>
  <c r="E17" i="7"/>
  <c r="E13" i="7"/>
  <c r="I9" i="7"/>
  <c r="AA80" i="6"/>
  <c r="Z65" i="6"/>
  <c r="AC65" i="6" s="1"/>
  <c r="Y64" i="6"/>
  <c r="AE64" i="6" s="1"/>
  <c r="AI64" i="6"/>
  <c r="O64" i="6"/>
  <c r="V64" i="6" s="1"/>
  <c r="Z43" i="6"/>
  <c r="AF43" i="6" s="1"/>
  <c r="O43" i="6"/>
  <c r="W43" i="6" s="1"/>
  <c r="AL43" i="6" s="1"/>
  <c r="T6" i="6"/>
  <c r="D7" i="7"/>
  <c r="H7" i="7"/>
  <c r="C9" i="7"/>
  <c r="F25" i="4" s="1"/>
  <c r="G9" i="7"/>
  <c r="F11" i="7"/>
  <c r="J11" i="7"/>
  <c r="L11" i="7" s="1"/>
  <c r="F13" i="7"/>
  <c r="J13" i="7"/>
  <c r="F15" i="7"/>
  <c r="J15" i="7"/>
  <c r="F17" i="7"/>
  <c r="E7" i="7"/>
  <c r="I7" i="7"/>
  <c r="D9" i="7"/>
  <c r="H9" i="7"/>
  <c r="H29" i="7" s="1"/>
  <c r="C11" i="7"/>
  <c r="F26" i="4" s="1"/>
  <c r="G11" i="7"/>
  <c r="C13" i="7"/>
  <c r="F27" i="4" s="1"/>
  <c r="G13" i="7"/>
  <c r="C15" i="7"/>
  <c r="G15" i="7"/>
  <c r="C17" i="7"/>
  <c r="F29" i="4" s="1"/>
  <c r="G17" i="7"/>
  <c r="C19" i="7"/>
  <c r="F30" i="4" s="1"/>
  <c r="G19" i="7"/>
  <c r="C21" i="7"/>
  <c r="F31" i="4" s="1"/>
  <c r="G21" i="7"/>
  <c r="F23" i="7"/>
  <c r="J23" i="7"/>
  <c r="F25" i="7"/>
  <c r="J25" i="7"/>
  <c r="F27" i="7"/>
  <c r="J27" i="7"/>
  <c r="F7" i="7"/>
  <c r="J7" i="7"/>
  <c r="J29" i="7" s="1"/>
  <c r="AE107" i="6"/>
  <c r="AA107" i="6"/>
  <c r="AJ107" i="6"/>
  <c r="AC14" i="6"/>
  <c r="AF14" i="6"/>
  <c r="AK14" i="6"/>
  <c r="AB9" i="6"/>
  <c r="AH62" i="6"/>
  <c r="AK62" i="6"/>
  <c r="Y79" i="6"/>
  <c r="AB79" i="6" s="1"/>
  <c r="Y85" i="6"/>
  <c r="AF80" i="6"/>
  <c r="AF127" i="6"/>
  <c r="I27" i="7"/>
  <c r="D27" i="7"/>
  <c r="M27" i="7" s="1"/>
  <c r="G25" i="7"/>
  <c r="M25" i="7" s="1"/>
  <c r="I23" i="7"/>
  <c r="D23" i="7"/>
  <c r="I21" i="7"/>
  <c r="D21" i="7"/>
  <c r="L21" i="7" s="1"/>
  <c r="F19" i="7"/>
  <c r="I17" i="7"/>
  <c r="I15" i="7"/>
  <c r="I13" i="7"/>
  <c r="M13" i="7" s="1"/>
  <c r="I11" i="7"/>
  <c r="E9" i="7"/>
  <c r="X99" i="6"/>
  <c r="Z99" i="6"/>
  <c r="AC99" i="6" s="1"/>
  <c r="AI99" i="6"/>
  <c r="AJ99" i="6" s="1"/>
  <c r="O99" i="6"/>
  <c r="T83" i="6"/>
  <c r="AK83" i="6" s="1"/>
  <c r="AL83" i="6"/>
  <c r="X71" i="6"/>
  <c r="Y67" i="6"/>
  <c r="O67" i="6"/>
  <c r="Z67" i="6"/>
  <c r="AF67" i="6" s="1"/>
  <c r="Y36" i="6"/>
  <c r="AE36" i="6" s="1"/>
  <c r="Z36" i="6"/>
  <c r="AC36" i="6" s="1"/>
  <c r="O36" i="6"/>
  <c r="W36" i="6" s="1"/>
  <c r="AL36" i="6" s="1"/>
  <c r="AI36" i="6"/>
  <c r="AJ36" i="6" s="1"/>
  <c r="Z34" i="6"/>
  <c r="AI34" i="6"/>
  <c r="O34" i="6"/>
  <c r="X34" i="6"/>
  <c r="AA34" i="6" s="1"/>
  <c r="AL32" i="6"/>
  <c r="T32" i="6"/>
  <c r="AB127" i="6"/>
  <c r="AK115" i="6"/>
  <c r="AA83" i="6"/>
  <c r="AJ80" i="6"/>
  <c r="AF135" i="6"/>
  <c r="AE133" i="6"/>
  <c r="AD129" i="6"/>
  <c r="AE123" i="6"/>
  <c r="V119" i="6"/>
  <c r="AB119" i="6"/>
  <c r="T85" i="6"/>
  <c r="AF85" i="6" s="1"/>
  <c r="AI76" i="6"/>
  <c r="AK76" i="6" s="1"/>
  <c r="Z75" i="6"/>
  <c r="AI74" i="6"/>
  <c r="T71" i="6"/>
  <c r="O68" i="6"/>
  <c r="O63" i="6"/>
  <c r="O62" i="6"/>
  <c r="AI57" i="6"/>
  <c r="AH57" i="6" s="1"/>
  <c r="Z50" i="6"/>
  <c r="Z48" i="6"/>
  <c r="AF48" i="6" s="1"/>
  <c r="AA40" i="6"/>
  <c r="AI39" i="6"/>
  <c r="AK39" i="6" s="1"/>
  <c r="AI32" i="6"/>
  <c r="O32" i="6"/>
  <c r="AA26" i="6"/>
  <c r="AI25" i="6"/>
  <c r="AK25" i="6" s="1"/>
  <c r="X22" i="6"/>
  <c r="O22" i="6"/>
  <c r="Z15" i="6"/>
  <c r="X15" i="6"/>
  <c r="AL14" i="6"/>
  <c r="Z12" i="6"/>
  <c r="AL9" i="6"/>
  <c r="AK127" i="6"/>
  <c r="AH125" i="6"/>
  <c r="AJ77" i="6"/>
  <c r="V77" i="6"/>
  <c r="AC76" i="6"/>
  <c r="AI68" i="6"/>
  <c r="AC57" i="6"/>
  <c r="AB57" i="6"/>
  <c r="AD38" i="6"/>
  <c r="AH33" i="6"/>
  <c r="V33" i="6"/>
  <c r="T136" i="6"/>
  <c r="AA136" i="6" s="1"/>
  <c r="V136" i="6"/>
  <c r="AD136" i="6"/>
  <c r="AC136" i="6"/>
  <c r="AE224" i="6"/>
  <c r="AE213" i="6"/>
  <c r="AD205" i="6"/>
  <c r="AA181" i="6"/>
  <c r="AD181" i="6"/>
  <c r="W79" i="6"/>
  <c r="AB12" i="6"/>
  <c r="AB16" i="6"/>
  <c r="AJ7" i="6"/>
  <c r="AB123" i="6"/>
  <c r="V154" i="6"/>
  <c r="AH156" i="6"/>
  <c r="AD107" i="6"/>
  <c r="AB125" i="6"/>
  <c r="AE127" i="6"/>
  <c r="AC153" i="6"/>
  <c r="AE154" i="6"/>
  <c r="AE216" i="6"/>
  <c r="AE132" i="6"/>
  <c r="AE153" i="6"/>
  <c r="AA153" i="6"/>
  <c r="AJ188" i="6"/>
  <c r="W198" i="6"/>
  <c r="V206" i="6"/>
  <c r="AJ213" i="6"/>
  <c r="AK216" i="6"/>
  <c r="AA224" i="6"/>
  <c r="V213" i="6"/>
  <c r="AH224" i="6"/>
  <c r="AB227" i="6"/>
  <c r="AD213" i="6"/>
  <c r="AC224" i="6"/>
  <c r="AF214" i="6"/>
  <c r="AH227" i="6"/>
  <c r="AJ226" i="6"/>
  <c r="AE226" i="6"/>
  <c r="AC226" i="6"/>
  <c r="W226" i="6"/>
  <c r="AB224" i="6"/>
  <c r="V224" i="6"/>
  <c r="AB218" i="6"/>
  <c r="AB214" i="6"/>
  <c r="V214" i="6"/>
  <c r="AK212" i="6"/>
  <c r="AH205" i="6"/>
  <c r="AB205" i="6"/>
  <c r="AC204" i="6"/>
  <c r="AH199" i="6"/>
  <c r="AH198" i="6"/>
  <c r="AH197" i="6"/>
  <c r="AC194" i="6"/>
  <c r="AB184" i="6"/>
  <c r="AA177" i="6"/>
  <c r="AC177" i="6"/>
  <c r="AK177" i="6"/>
  <c r="V177" i="6"/>
  <c r="AE175" i="6"/>
  <c r="V173" i="6"/>
  <c r="W173" i="6"/>
  <c r="AE171" i="6"/>
  <c r="AJ170" i="6"/>
  <c r="AK170" i="6"/>
  <c r="AH170" i="6"/>
  <c r="W170" i="6"/>
  <c r="V170" i="6"/>
  <c r="AD162" i="6"/>
  <c r="AA162" i="6"/>
  <c r="AC156" i="6"/>
  <c r="V151" i="6"/>
  <c r="AA151" i="6"/>
  <c r="AD151" i="6"/>
  <c r="AD133" i="6"/>
  <c r="AA133" i="6"/>
  <c r="AF132" i="6"/>
  <c r="AD125" i="6"/>
  <c r="AJ60" i="6"/>
  <c r="Y60" i="6"/>
  <c r="AB60" i="6" s="1"/>
  <c r="X60" i="6"/>
  <c r="AD60" i="6" s="1"/>
  <c r="Z60" i="6"/>
  <c r="AC60" i="6" s="1"/>
  <c r="O60" i="6"/>
  <c r="W60" i="6" s="1"/>
  <c r="AF184" i="6"/>
  <c r="AC184" i="6"/>
  <c r="AJ178" i="6"/>
  <c r="V178" i="6"/>
  <c r="AK171" i="6"/>
  <c r="AJ171" i="6"/>
  <c r="AB171" i="6"/>
  <c r="W165" i="6"/>
  <c r="E12" i="10" s="1"/>
  <c r="V165" i="6"/>
  <c r="T116" i="6"/>
  <c r="AC116" i="6" s="1"/>
  <c r="AK129" i="6"/>
  <c r="AK116" i="6"/>
  <c r="AJ118" i="6"/>
  <c r="V5" i="6"/>
  <c r="AB17" i="6"/>
  <c r="AJ114" i="6"/>
  <c r="AJ125" i="6"/>
  <c r="AJ131" i="6"/>
  <c r="AE5" i="6"/>
  <c r="W7" i="6"/>
  <c r="V10" i="6"/>
  <c r="AH12" i="6"/>
  <c r="AC16" i="6"/>
  <c r="AJ5" i="6"/>
  <c r="V132" i="6"/>
  <c r="AD154" i="6"/>
  <c r="AJ156" i="6"/>
  <c r="AE188" i="6"/>
  <c r="B231" i="6"/>
  <c r="V107" i="6"/>
  <c r="AE125" i="6"/>
  <c r="AA132" i="6"/>
  <c r="AJ153" i="6"/>
  <c r="V156" i="6"/>
  <c r="W199" i="6"/>
  <c r="AK222" i="6"/>
  <c r="W132" i="6"/>
  <c r="W153" i="6"/>
  <c r="AA125" i="6"/>
  <c r="AC132" i="6"/>
  <c r="W171" i="6"/>
  <c r="W184" i="6"/>
  <c r="AH188" i="6"/>
  <c r="AH218" i="6"/>
  <c r="AB213" i="6"/>
  <c r="AE214" i="6"/>
  <c r="AK211" i="6"/>
  <c r="AJ214" i="6"/>
  <c r="AH226" i="6"/>
  <c r="AD226" i="6"/>
  <c r="V226" i="6"/>
  <c r="AC225" i="6"/>
  <c r="AJ222" i="6"/>
  <c r="AJ212" i="6"/>
  <c r="AE212" i="6"/>
  <c r="W212" i="6"/>
  <c r="AK205" i="6"/>
  <c r="AF205" i="6"/>
  <c r="V205" i="6"/>
  <c r="AH203" i="6"/>
  <c r="AA203" i="6"/>
  <c r="AD203" i="6"/>
  <c r="AK199" i="6"/>
  <c r="AJ198" i="6"/>
  <c r="AK197" i="6"/>
  <c r="AH196" i="6"/>
  <c r="AH195" i="6"/>
  <c r="AH194" i="6"/>
  <c r="AH193" i="6"/>
  <c r="AD184" i="6"/>
  <c r="AH181" i="6"/>
  <c r="AJ181" i="6"/>
  <c r="AD178" i="6"/>
  <c r="AE177" i="6"/>
  <c r="AA176" i="6"/>
  <c r="AB176" i="6"/>
  <c r="AB174" i="6"/>
  <c r="AE174" i="6"/>
  <c r="AJ174" i="6"/>
  <c r="AB170" i="6"/>
  <c r="AE170" i="6"/>
  <c r="AK165" i="6"/>
  <c r="AJ165" i="6"/>
  <c r="AH165" i="6"/>
  <c r="AC162" i="6"/>
  <c r="AF162" i="6"/>
  <c r="W162" i="6"/>
  <c r="E9" i="10" s="1"/>
  <c r="V162" i="6"/>
  <c r="W156" i="6"/>
  <c r="AB156" i="6"/>
  <c r="AE156" i="6"/>
  <c r="AD156" i="6"/>
  <c r="W154" i="6"/>
  <c r="E8" i="10" s="1"/>
  <c r="T122" i="6"/>
  <c r="AC122" i="6" s="1"/>
  <c r="AL28" i="6"/>
  <c r="T28" i="6"/>
  <c r="AA20" i="6"/>
  <c r="AB223" i="6"/>
  <c r="AJ184" i="6"/>
  <c r="AK184" i="6"/>
  <c r="V184" i="6"/>
  <c r="AF178" i="6"/>
  <c r="AA174" i="6"/>
  <c r="AF171" i="6"/>
  <c r="AA171" i="6"/>
  <c r="AA167" i="6"/>
  <c r="AD167" i="6"/>
  <c r="V166" i="6"/>
  <c r="W166" i="6"/>
  <c r="E13" i="10" s="1"/>
  <c r="AA163" i="6"/>
  <c r="AD163" i="6"/>
  <c r="AJ116" i="6"/>
  <c r="W83" i="6"/>
  <c r="AB7" i="6"/>
  <c r="AH16" i="6"/>
  <c r="AM18" i="6"/>
  <c r="AB132" i="6"/>
  <c r="AC154" i="6"/>
  <c r="AB116" i="6"/>
  <c r="AD132" i="6"/>
  <c r="AF84" i="6"/>
  <c r="AH130" i="6"/>
  <c r="AJ132" i="6"/>
  <c r="W205" i="6"/>
  <c r="AK213" i="6"/>
  <c r="AH214" i="6"/>
  <c r="AE199" i="6"/>
  <c r="AE197" i="6"/>
  <c r="AD185" i="6"/>
  <c r="AE181" i="6"/>
  <c r="AK180" i="6"/>
  <c r="AD179" i="6"/>
  <c r="AK178" i="6"/>
  <c r="AD177" i="6"/>
  <c r="AK176" i="6"/>
  <c r="AF176" i="6"/>
  <c r="V175" i="6"/>
  <c r="AK175" i="6"/>
  <c r="AA175" i="6"/>
  <c r="AJ175" i="6"/>
  <c r="AF174" i="6"/>
  <c r="AK173" i="6"/>
  <c r="AJ173" i="6"/>
  <c r="AB173" i="6"/>
  <c r="AJ172" i="6"/>
  <c r="AK172" i="6"/>
  <c r="AH172" i="6"/>
  <c r="V171" i="6"/>
  <c r="AF168" i="6"/>
  <c r="AD166" i="6"/>
  <c r="AA166" i="6"/>
  <c r="AK153" i="6"/>
  <c r="AD153" i="6"/>
  <c r="V153" i="6"/>
  <c r="AB153" i="6"/>
  <c r="AB138" i="6"/>
  <c r="AE138" i="6"/>
  <c r="AK137" i="6"/>
  <c r="AE137" i="6"/>
  <c r="AB133" i="6"/>
  <c r="AF131" i="6"/>
  <c r="AC131" i="6"/>
  <c r="AF122" i="6"/>
  <c r="AB118" i="6"/>
  <c r="O78" i="6"/>
  <c r="W78" i="6" s="1"/>
  <c r="AI78" i="6"/>
  <c r="Y78" i="6"/>
  <c r="AE78" i="6" s="1"/>
  <c r="Z78" i="6"/>
  <c r="AC78" i="6" s="1"/>
  <c r="AE184" i="6"/>
  <c r="AC182" i="6"/>
  <c r="AK179" i="6"/>
  <c r="AB178" i="6"/>
  <c r="AE178" i="6"/>
  <c r="W178" i="6"/>
  <c r="AJ176" i="6"/>
  <c r="AH176" i="6"/>
  <c r="AD175" i="6"/>
  <c r="AC174" i="6"/>
  <c r="V174" i="6"/>
  <c r="W174" i="6"/>
  <c r="AD173" i="6"/>
  <c r="AB172" i="6"/>
  <c r="AE172" i="6"/>
  <c r="AD171" i="6"/>
  <c r="AJ169" i="6"/>
  <c r="AH169" i="6"/>
  <c r="AD168" i="6"/>
  <c r="AA168" i="6"/>
  <c r="AF166" i="6"/>
  <c r="AK164" i="6"/>
  <c r="AH164" i="6"/>
  <c r="AA156" i="6"/>
  <c r="AA154" i="6"/>
  <c r="AC151" i="6"/>
  <c r="W138" i="6"/>
  <c r="AA138" i="6"/>
  <c r="AF137" i="6"/>
  <c r="AF134" i="6"/>
  <c r="AA127" i="6"/>
  <c r="W122" i="6"/>
  <c r="P121" i="6"/>
  <c r="AF117" i="6"/>
  <c r="P117" i="6"/>
  <c r="AA84" i="6"/>
  <c r="AL82" i="6"/>
  <c r="AL51" i="6"/>
  <c r="T51" i="6"/>
  <c r="AJ51" i="6" s="1"/>
  <c r="Y38" i="6"/>
  <c r="AI38" i="6"/>
  <c r="AJ38" i="6" s="1"/>
  <c r="O38" i="6"/>
  <c r="Z38" i="6"/>
  <c r="Y37" i="6"/>
  <c r="Z37" i="6"/>
  <c r="AF37" i="6" s="1"/>
  <c r="AI37" i="6"/>
  <c r="AJ37" i="6" s="1"/>
  <c r="O37" i="6"/>
  <c r="P129" i="6"/>
  <c r="U129" i="6"/>
  <c r="AC125" i="6"/>
  <c r="AF120" i="6"/>
  <c r="AC120" i="6"/>
  <c r="X86" i="6"/>
  <c r="AA86" i="6" s="1"/>
  <c r="Z86" i="6"/>
  <c r="AC86" i="6" s="1"/>
  <c r="AL81" i="6"/>
  <c r="T81" i="6"/>
  <c r="W81" i="6" s="1"/>
  <c r="T72" i="6"/>
  <c r="AB72" i="6" s="1"/>
  <c r="AL72" i="6"/>
  <c r="AJ56" i="6"/>
  <c r="W151" i="6"/>
  <c r="AD137" i="6"/>
  <c r="W137" i="6"/>
  <c r="P136" i="6"/>
  <c r="U136" i="6"/>
  <c r="W133" i="6"/>
  <c r="V133" i="6"/>
  <c r="P130" i="6"/>
  <c r="AC127" i="6"/>
  <c r="AF126" i="6"/>
  <c r="W125" i="6"/>
  <c r="AF125" i="6"/>
  <c r="AF123" i="6"/>
  <c r="W119" i="6"/>
  <c r="AI119" i="6"/>
  <c r="U118" i="6"/>
  <c r="P118" i="6"/>
  <c r="AE99" i="6"/>
  <c r="AF98" i="6"/>
  <c r="AD98" i="6"/>
  <c r="AI86" i="6"/>
  <c r="AH86" i="6" s="1"/>
  <c r="AE76" i="6"/>
  <c r="AE73" i="6"/>
  <c r="AA72" i="6"/>
  <c r="O72" i="6"/>
  <c r="AI72" i="6"/>
  <c r="AB67" i="6"/>
  <c r="AC66" i="6"/>
  <c r="AE66" i="6"/>
  <c r="AJ65" i="6"/>
  <c r="AJ64" i="6"/>
  <c r="Z59" i="6"/>
  <c r="AF59" i="6" s="1"/>
  <c r="O59" i="6"/>
  <c r="W59" i="6" s="1"/>
  <c r="AI59" i="6"/>
  <c r="AK59" i="6" s="1"/>
  <c r="T58" i="6"/>
  <c r="AD58" i="6" s="1"/>
  <c r="AL58" i="6"/>
  <c r="AF56" i="6"/>
  <c r="AE56" i="6"/>
  <c r="Y55" i="6"/>
  <c r="AB55" i="6" s="1"/>
  <c r="X55" i="6"/>
  <c r="Z55" i="6"/>
  <c r="AE53" i="6"/>
  <c r="AC51" i="6"/>
  <c r="AE51" i="6"/>
  <c r="AC49" i="6"/>
  <c r="AE49" i="6"/>
  <c r="Z44" i="6"/>
  <c r="AF44" i="6" s="1"/>
  <c r="Y44" i="6"/>
  <c r="AE44" i="6" s="1"/>
  <c r="X44" i="6"/>
  <c r="AI44" i="6"/>
  <c r="AH44" i="6" s="1"/>
  <c r="AJ43" i="6"/>
  <c r="AF42" i="6"/>
  <c r="AE42" i="6"/>
  <c r="Y40" i="6"/>
  <c r="Z40" i="6"/>
  <c r="AF40" i="6" s="1"/>
  <c r="AI40" i="6"/>
  <c r="AJ40" i="6" s="1"/>
  <c r="AB30" i="6"/>
  <c r="O29" i="6"/>
  <c r="W29" i="6" s="1"/>
  <c r="AI29" i="6"/>
  <c r="Y29" i="6"/>
  <c r="Z29" i="6"/>
  <c r="AC29" i="6" s="1"/>
  <c r="Y26" i="6"/>
  <c r="AE26" i="6" s="1"/>
  <c r="Z26" i="6"/>
  <c r="AF26" i="6" s="1"/>
  <c r="AI26" i="6"/>
  <c r="AK26" i="6" s="1"/>
  <c r="Z19" i="6"/>
  <c r="AC19" i="6" s="1"/>
  <c r="AI19" i="6"/>
  <c r="AK19" i="6" s="1"/>
  <c r="X6" i="6"/>
  <c r="Z6" i="6"/>
  <c r="AI6" i="6"/>
  <c r="AK6" i="6" s="1"/>
  <c r="AK5" i="6"/>
  <c r="G11" i="6"/>
  <c r="AE11" i="6" s="1"/>
  <c r="G6" i="6"/>
  <c r="W6" i="6" s="1"/>
  <c r="AL6" i="6" s="1"/>
  <c r="G8" i="6"/>
  <c r="W8" i="6" s="1"/>
  <c r="AL8" i="6" s="1"/>
  <c r="G10" i="6"/>
  <c r="AB10" i="6" s="1"/>
  <c r="G13" i="6"/>
  <c r="AB13" i="6" s="1"/>
  <c r="G15" i="6"/>
  <c r="G37" i="6"/>
  <c r="AD37" i="6" s="1"/>
  <c r="G39" i="6"/>
  <c r="W39" i="6" s="1"/>
  <c r="G46" i="6"/>
  <c r="G19" i="6"/>
  <c r="G34" i="6"/>
  <c r="G44" i="6"/>
  <c r="G47" i="6"/>
  <c r="G50" i="6"/>
  <c r="AF50" i="6" s="1"/>
  <c r="G55" i="6"/>
  <c r="AJ55" i="6" s="1"/>
  <c r="G60" i="6"/>
  <c r="G20" i="6"/>
  <c r="G29" i="6"/>
  <c r="G31" i="6"/>
  <c r="G43" i="6"/>
  <c r="G56" i="6"/>
  <c r="V56" i="6" s="1"/>
  <c r="G61" i="6"/>
  <c r="AC61" i="6" s="1"/>
  <c r="G63" i="6"/>
  <c r="G65" i="6"/>
  <c r="G67" i="6"/>
  <c r="G68" i="6"/>
  <c r="G75" i="6"/>
  <c r="AE75" i="6" s="1"/>
  <c r="G84" i="6"/>
  <c r="AC84" i="6" s="1"/>
  <c r="G118" i="6"/>
  <c r="G121" i="6"/>
  <c r="AD121" i="6" s="1"/>
  <c r="G124" i="6"/>
  <c r="AD127" i="6"/>
  <c r="P114" i="6"/>
  <c r="W99" i="6"/>
  <c r="AL99" i="6" s="1"/>
  <c r="O98" i="6"/>
  <c r="V98" i="6" s="1"/>
  <c r="AI98" i="6"/>
  <c r="AK98" i="6" s="1"/>
  <c r="X85" i="6"/>
  <c r="AI85" i="6"/>
  <c r="O75" i="6"/>
  <c r="X73" i="6"/>
  <c r="O73" i="6"/>
  <c r="W68" i="6"/>
  <c r="W67" i="6"/>
  <c r="AL67" i="6" s="1"/>
  <c r="W66" i="6"/>
  <c r="AL66" i="6" s="1"/>
  <c r="AJ62" i="6"/>
  <c r="AE58" i="6"/>
  <c r="W56" i="6"/>
  <c r="AL56" i="6" s="1"/>
  <c r="O55" i="6"/>
  <c r="Z54" i="6"/>
  <c r="AF54" i="6" s="1"/>
  <c r="O54" i="6"/>
  <c r="AI54" i="6"/>
  <c r="AH54" i="6" s="1"/>
  <c r="AA53" i="6"/>
  <c r="Z53" i="6"/>
  <c r="AF53" i="6" s="1"/>
  <c r="O53" i="6"/>
  <c r="W53" i="6" s="1"/>
  <c r="AL53" i="6" s="1"/>
  <c r="AI53" i="6"/>
  <c r="AJ53" i="6" s="1"/>
  <c r="T52" i="6"/>
  <c r="AE52" i="6" s="1"/>
  <c r="AL52" i="6"/>
  <c r="W51" i="6"/>
  <c r="O50" i="6"/>
  <c r="AI50" i="6"/>
  <c r="AJ50" i="6" s="1"/>
  <c r="Z45" i="6"/>
  <c r="AC45" i="6" s="1"/>
  <c r="AI45" i="6"/>
  <c r="AJ45" i="6" s="1"/>
  <c r="O45" i="6"/>
  <c r="W45" i="6" s="1"/>
  <c r="O44" i="6"/>
  <c r="O40" i="6"/>
  <c r="W40" i="6" s="1"/>
  <c r="G32" i="6"/>
  <c r="AE32" i="6" s="1"/>
  <c r="O31" i="6"/>
  <c r="AI31" i="6"/>
  <c r="Y31" i="6"/>
  <c r="Z31" i="6"/>
  <c r="AC31" i="6" s="1"/>
  <c r="X29" i="6"/>
  <c r="O26" i="6"/>
  <c r="W26" i="6" s="1"/>
  <c r="AL26" i="6" s="1"/>
  <c r="AF21" i="6"/>
  <c r="G21" i="6"/>
  <c r="AB21" i="6" s="1"/>
  <c r="X19" i="6"/>
  <c r="O19" i="6"/>
  <c r="AF16" i="6"/>
  <c r="AI11" i="6"/>
  <c r="AK11" i="6" s="1"/>
  <c r="X11" i="6"/>
  <c r="Z11" i="6"/>
  <c r="AE119" i="6"/>
  <c r="AF116" i="6"/>
  <c r="AD115" i="6"/>
  <c r="AC114" i="6"/>
  <c r="AJ76" i="6"/>
  <c r="AI75" i="6"/>
  <c r="AE74" i="6"/>
  <c r="AC74" i="6"/>
  <c r="Z72" i="6"/>
  <c r="AF72" i="6" s="1"/>
  <c r="W65" i="6"/>
  <c r="AL65" i="6" s="1"/>
  <c r="AE63" i="6"/>
  <c r="AE62" i="6"/>
  <c r="AF52" i="6"/>
  <c r="AE48" i="6"/>
  <c r="AJ46" i="6"/>
  <c r="G41" i="6"/>
  <c r="AL35" i="6"/>
  <c r="T35" i="6"/>
  <c r="AB35" i="6" s="1"/>
  <c r="X31" i="6"/>
  <c r="G28" i="6"/>
  <c r="AL23" i="6"/>
  <c r="T23" i="6"/>
  <c r="G23" i="6"/>
  <c r="AE21" i="6"/>
  <c r="O20" i="6"/>
  <c r="AI20" i="6"/>
  <c r="AK20" i="6" s="1"/>
  <c r="Y20" i="6"/>
  <c r="Z20" i="6"/>
  <c r="AF20" i="6" s="1"/>
  <c r="AA77" i="6"/>
  <c r="AA76" i="6"/>
  <c r="AA71" i="6"/>
  <c r="AA70" i="6"/>
  <c r="AA69" i="6"/>
  <c r="X67" i="6"/>
  <c r="AA67" i="6" s="1"/>
  <c r="X66" i="6"/>
  <c r="AA66" i="6" s="1"/>
  <c r="X65" i="6"/>
  <c r="AA65" i="6" s="1"/>
  <c r="X64" i="6"/>
  <c r="AA64" i="6" s="1"/>
  <c r="X63" i="6"/>
  <c r="X62" i="6"/>
  <c r="AA62" i="6" s="1"/>
  <c r="X61" i="6"/>
  <c r="X57" i="6"/>
  <c r="AA57" i="6" s="1"/>
  <c r="X56" i="6"/>
  <c r="AA56" i="6" s="1"/>
  <c r="X51" i="6"/>
  <c r="AA51" i="6" s="1"/>
  <c r="AA49" i="6"/>
  <c r="O49" i="6"/>
  <c r="W49" i="6" s="1"/>
  <c r="AL49" i="6" s="1"/>
  <c r="AI49" i="6"/>
  <c r="AJ49" i="6" s="1"/>
  <c r="AJ48" i="6"/>
  <c r="T48" i="6"/>
  <c r="W48" i="6" s="1"/>
  <c r="AC47" i="6"/>
  <c r="AF46" i="6"/>
  <c r="Y46" i="6"/>
  <c r="AE46" i="6" s="1"/>
  <c r="X46" i="6"/>
  <c r="X43" i="6"/>
  <c r="AA43" i="6" s="1"/>
  <c r="Y43" i="6"/>
  <c r="AE43" i="6" s="1"/>
  <c r="AA42" i="6"/>
  <c r="O42" i="6"/>
  <c r="AI42" i="6"/>
  <c r="AJ42" i="6" s="1"/>
  <c r="T41" i="6"/>
  <c r="AE41" i="6" s="1"/>
  <c r="Z39" i="6"/>
  <c r="AC39" i="6" s="1"/>
  <c r="AH35" i="6"/>
  <c r="T34" i="6"/>
  <c r="AK34" i="6" s="1"/>
  <c r="AE33" i="6"/>
  <c r="AA30" i="6"/>
  <c r="O30" i="6"/>
  <c r="AI30" i="6"/>
  <c r="AH30" i="6" s="1"/>
  <c r="AA28" i="6"/>
  <c r="O28" i="6"/>
  <c r="AI28" i="6"/>
  <c r="AB27" i="6"/>
  <c r="AC27" i="6"/>
  <c r="Z25" i="6"/>
  <c r="AF25" i="6" s="1"/>
  <c r="T22" i="6"/>
  <c r="AD22" i="6" s="1"/>
  <c r="AA21" i="6"/>
  <c r="O21" i="6"/>
  <c r="AI21" i="6"/>
  <c r="AK21" i="6" s="1"/>
  <c r="AL16" i="6"/>
  <c r="X13" i="6"/>
  <c r="AD13" i="6" s="1"/>
  <c r="Z13" i="6"/>
  <c r="AF13" i="6" s="1"/>
  <c r="AI13" i="6"/>
  <c r="X8" i="6"/>
  <c r="Z8" i="6"/>
  <c r="AC8" i="6" s="1"/>
  <c r="AI8" i="6"/>
  <c r="AK8" i="6" s="1"/>
  <c r="AJ70" i="6"/>
  <c r="W70" i="6"/>
  <c r="AL70" i="6" s="1"/>
  <c r="AH69" i="6"/>
  <c r="W69" i="6"/>
  <c r="AL69" i="6" s="1"/>
  <c r="W58" i="6"/>
  <c r="AA47" i="6"/>
  <c r="AE47" i="6"/>
  <c r="W46" i="6"/>
  <c r="AF41" i="6"/>
  <c r="AA39" i="6"/>
  <c r="AE39" i="6"/>
  <c r="V36" i="6"/>
  <c r="AF35" i="6"/>
  <c r="AA27" i="6"/>
  <c r="AA25" i="6"/>
  <c r="AB25" i="6"/>
  <c r="AH24" i="6"/>
  <c r="V24" i="6"/>
  <c r="AK17" i="6"/>
  <c r="X17" i="6"/>
  <c r="Z17" i="6"/>
  <c r="AK16" i="6"/>
  <c r="X10" i="6"/>
  <c r="AD10" i="6" s="1"/>
  <c r="Z10" i="6"/>
  <c r="AF10" i="6" s="1"/>
  <c r="AI10" i="6"/>
  <c r="AJ10" i="6" s="1"/>
  <c r="AD36" i="6"/>
  <c r="AA33" i="6"/>
  <c r="AA24" i="6"/>
  <c r="AA23" i="6"/>
  <c r="AA22" i="6"/>
  <c r="AC12" i="6"/>
  <c r="AD12" i="6"/>
  <c r="AC9" i="6"/>
  <c r="AA9" i="6"/>
  <c r="AC7" i="6"/>
  <c r="AA7" i="6"/>
  <c r="AF5" i="6"/>
  <c r="AD5" i="6"/>
  <c r="W82" i="6"/>
  <c r="V40" i="6"/>
  <c r="V70" i="6"/>
  <c r="AD42" i="6"/>
  <c r="AD48" i="6"/>
  <c r="V39" i="6"/>
  <c r="AB47" i="6"/>
  <c r="AH70" i="6"/>
  <c r="AH77" i="6"/>
  <c r="AH76" i="6"/>
  <c r="AD79" i="6"/>
  <c r="AC83" i="6"/>
  <c r="AE18" i="6"/>
  <c r="W15" i="6"/>
  <c r="AL15" i="6" s="1"/>
  <c r="AF36" i="6"/>
  <c r="AB48" i="6"/>
  <c r="AK69" i="6"/>
  <c r="AD83" i="6"/>
  <c r="V46" i="6"/>
  <c r="AH52" i="6"/>
  <c r="V26" i="6"/>
  <c r="AC81" i="6"/>
  <c r="AE10" i="6"/>
  <c r="AB19" i="6"/>
  <c r="AD27" i="6"/>
  <c r="AH58" i="6"/>
  <c r="AF32" i="6"/>
  <c r="AK22" i="6"/>
  <c r="AB11" i="6"/>
  <c r="AE12" i="6"/>
  <c r="AB5" i="6"/>
  <c r="AE83" i="6"/>
  <c r="V18" i="6"/>
  <c r="AE13" i="6"/>
  <c r="V7" i="6"/>
  <c r="AE9" i="6"/>
  <c r="W10" i="6"/>
  <c r="AC13" i="6"/>
  <c r="AJ18" i="6"/>
  <c r="AH47" i="6"/>
  <c r="AB71" i="6"/>
  <c r="AA13" i="6"/>
  <c r="AK48" i="6"/>
  <c r="AB39" i="6"/>
  <c r="AJ73" i="6"/>
  <c r="V74" i="6"/>
  <c r="V48" i="6"/>
  <c r="AE7" i="6"/>
  <c r="AH84" i="6"/>
  <c r="AE14" i="6"/>
  <c r="AJ16" i="6"/>
  <c r="AH48" i="6"/>
  <c r="AK47" i="6"/>
  <c r="AD52" i="6"/>
  <c r="AH78" i="6"/>
  <c r="AK80" i="6"/>
  <c r="W32" i="6"/>
  <c r="AD50" i="6"/>
  <c r="AD65" i="6"/>
  <c r="AD69" i="6"/>
  <c r="AB56" i="6"/>
  <c r="AB62" i="6"/>
  <c r="AB66" i="6"/>
  <c r="AJ22" i="6"/>
  <c r="AF19" i="6"/>
  <c r="AB86" i="6"/>
  <c r="AK82" i="6"/>
  <c r="AH80" i="6"/>
  <c r="AB84" i="6"/>
  <c r="W14" i="6"/>
  <c r="AH46" i="6"/>
  <c r="AB51" i="6"/>
  <c r="AD77" i="6"/>
  <c r="AE22" i="6"/>
  <c r="AB82" i="6"/>
  <c r="W11" i="6"/>
  <c r="AD7" i="6"/>
  <c r="W33" i="6"/>
  <c r="AD40" i="6"/>
  <c r="AK46" i="6"/>
  <c r="AD76" i="6"/>
  <c r="AD84" i="6"/>
  <c r="AD20" i="6"/>
  <c r="AF7" i="6"/>
  <c r="AH60" i="6"/>
  <c r="AK44" i="6"/>
  <c r="V84" i="6"/>
  <c r="V80" i="6"/>
  <c r="AA12" i="6"/>
  <c r="AH83" i="6"/>
  <c r="W17" i="6"/>
  <c r="AF9" i="6"/>
  <c r="AD39" i="6"/>
  <c r="AH56" i="6"/>
  <c r="AK56" i="6"/>
  <c r="AK60" i="6"/>
  <c r="AE17" i="6"/>
  <c r="AF82" i="6"/>
  <c r="AD9" i="6"/>
  <c r="W13" i="6"/>
  <c r="AL13" i="6" s="1"/>
  <c r="W9" i="6"/>
  <c r="AC15" i="6"/>
  <c r="V57" i="6"/>
  <c r="AE27" i="6"/>
  <c r="AA5" i="6"/>
  <c r="AD53" i="6"/>
  <c r="AF12" i="6"/>
  <c r="W24" i="6"/>
  <c r="AL24" i="6" s="1"/>
  <c r="AA38" i="6"/>
  <c r="AD70" i="6"/>
  <c r="AD71" i="6"/>
  <c r="AE16" i="6"/>
  <c r="V16" i="6"/>
  <c r="W12" i="6"/>
  <c r="V8" i="6"/>
  <c r="AC5" i="6"/>
  <c r="AD21" i="6"/>
  <c r="AD25" i="6"/>
  <c r="AH43" i="6"/>
  <c r="AB75" i="6"/>
  <c r="AK33" i="6"/>
  <c r="AK43" i="6"/>
  <c r="AK57" i="6"/>
  <c r="AF68" i="6"/>
  <c r="AB33" i="6"/>
  <c r="W5" i="6"/>
  <c r="AF51" i="6"/>
  <c r="AF47" i="6"/>
  <c r="AF76" i="6"/>
  <c r="AF69" i="6"/>
  <c r="AF39" i="6"/>
  <c r="AF49" i="6"/>
  <c r="V99" i="6"/>
  <c r="AF77" i="6"/>
  <c r="AC59" i="6"/>
  <c r="AJ35" i="6"/>
  <c r="AC30" i="6"/>
  <c r="AJ27" i="6"/>
  <c r="AF24" i="6"/>
  <c r="AC41" i="6"/>
  <c r="AJ33" i="6"/>
  <c r="AF57" i="6"/>
  <c r="AF27" i="6"/>
  <c r="AK24" i="6"/>
  <c r="AA78" i="6"/>
  <c r="AC70" i="6"/>
  <c r="AK27" i="6"/>
  <c r="AC25" i="6"/>
  <c r="AJ24" i="6"/>
  <c r="AJ79" i="6"/>
  <c r="AK79" i="6"/>
  <c r="AH79" i="6"/>
  <c r="AE77" i="6"/>
  <c r="AB77" i="6"/>
  <c r="V76" i="6"/>
  <c r="W76" i="6"/>
  <c r="AC58" i="6"/>
  <c r="AJ83" i="6"/>
  <c r="AB74" i="6"/>
  <c r="W98" i="6"/>
  <c r="AK81" i="6"/>
  <c r="M11" i="7"/>
  <c r="AF75" i="6"/>
  <c r="AE69" i="6"/>
  <c r="AB69" i="6"/>
  <c r="AE67" i="6"/>
  <c r="AE79" i="6"/>
  <c r="F28" i="4"/>
  <c r="AH99" i="6"/>
  <c r="AE98" i="6"/>
  <c r="AB98" i="6"/>
  <c r="AF73" i="6"/>
  <c r="AC73" i="6"/>
  <c r="AE70" i="6"/>
  <c r="AB70" i="6"/>
  <c r="AJ66" i="6"/>
  <c r="AH66" i="6"/>
  <c r="AF74" i="6"/>
  <c r="AC71" i="6"/>
  <c r="AF66" i="6"/>
  <c r="AC98" i="6"/>
  <c r="AF64" i="6"/>
  <c r="AC64" i="6"/>
  <c r="AF62" i="6"/>
  <c r="AC62" i="6"/>
  <c r="AF60" i="6"/>
  <c r="AC56" i="6"/>
  <c r="AC52" i="6"/>
  <c r="AC46" i="6"/>
  <c r="AC42" i="6"/>
  <c r="AK35" i="6"/>
  <c r="AF33" i="6"/>
  <c r="AC21" i="6"/>
  <c r="AC20" i="6"/>
  <c r="AH21" i="6"/>
  <c r="AJ98" i="6" l="1"/>
  <c r="AC48" i="6"/>
  <c r="AK49" i="6"/>
  <c r="V49" i="6"/>
  <c r="AH36" i="6"/>
  <c r="AC43" i="6"/>
  <c r="F29" i="7"/>
  <c r="AK36" i="6"/>
  <c r="AF65" i="6"/>
  <c r="AK45" i="6"/>
  <c r="AH45" i="6"/>
  <c r="AD57" i="6"/>
  <c r="AJ8" i="6"/>
  <c r="L9" i="7"/>
  <c r="AH26" i="6"/>
  <c r="AF31" i="6"/>
  <c r="V45" i="6"/>
  <c r="V59" i="6"/>
  <c r="AF99" i="6"/>
  <c r="M9" i="7"/>
  <c r="M17" i="7"/>
  <c r="E29" i="7"/>
  <c r="G29" i="7"/>
  <c r="C29" i="7"/>
  <c r="C30" i="7" s="1"/>
  <c r="F35" i="4"/>
  <c r="AC67" i="6"/>
  <c r="V43" i="6"/>
  <c r="AD43" i="6"/>
  <c r="AH53" i="6"/>
  <c r="AH42" i="6"/>
  <c r="AE45" i="6"/>
  <c r="I29" i="7"/>
  <c r="L15" i="7"/>
  <c r="L7" i="7"/>
  <c r="O46" i="7"/>
  <c r="M21" i="7"/>
  <c r="AJ26" i="6"/>
  <c r="AD64" i="6"/>
  <c r="AK53" i="6"/>
  <c r="AK42" i="6"/>
  <c r="AB64" i="6"/>
  <c r="AJ31" i="6"/>
  <c r="V71" i="6"/>
  <c r="L19" i="7"/>
  <c r="M23" i="7"/>
  <c r="W22" i="6"/>
  <c r="AF79" i="6"/>
  <c r="AC79" i="6"/>
  <c r="O39" i="7"/>
  <c r="L23" i="7"/>
  <c r="AJ71" i="6"/>
  <c r="L17" i="7"/>
  <c r="AF58" i="6"/>
  <c r="AF22" i="6"/>
  <c r="M19" i="7"/>
  <c r="AB22" i="6"/>
  <c r="AK23" i="6"/>
  <c r="AJ57" i="6"/>
  <c r="AA52" i="6"/>
  <c r="W85" i="6"/>
  <c r="AJ74" i="6"/>
  <c r="AK74" i="6"/>
  <c r="AH64" i="6"/>
  <c r="AK64" i="6"/>
  <c r="AH71" i="6"/>
  <c r="AH82" i="6"/>
  <c r="AJ82" i="6"/>
  <c r="AA120" i="6"/>
  <c r="AK120" i="6"/>
  <c r="V120" i="6"/>
  <c r="AH120" i="6"/>
  <c r="AJ120" i="6"/>
  <c r="AD120" i="6"/>
  <c r="W120" i="6"/>
  <c r="M15" i="7"/>
  <c r="AJ25" i="6"/>
  <c r="AK54" i="6"/>
  <c r="AK58" i="6"/>
  <c r="AJ58" i="6"/>
  <c r="AC22" i="6"/>
  <c r="AE54" i="6"/>
  <c r="AC44" i="6"/>
  <c r="AC54" i="6"/>
  <c r="O48" i="7"/>
  <c r="C47" i="7" s="1"/>
  <c r="AK71" i="6"/>
  <c r="AD67" i="6"/>
  <c r="AH39" i="6"/>
  <c r="M7" i="7"/>
  <c r="AC26" i="6"/>
  <c r="AK50" i="6"/>
  <c r="AB54" i="6"/>
  <c r="L25" i="7"/>
  <c r="AB44" i="6"/>
  <c r="AH11" i="6"/>
  <c r="AH85" i="6"/>
  <c r="AD86" i="6"/>
  <c r="AD72" i="6"/>
  <c r="AB26" i="6"/>
  <c r="AE85" i="6"/>
  <c r="AK52" i="6"/>
  <c r="V22" i="6"/>
  <c r="AC85" i="6"/>
  <c r="W52" i="6"/>
  <c r="AA58" i="6"/>
  <c r="AH25" i="6"/>
  <c r="AJ39" i="6"/>
  <c r="AJ54" i="6"/>
  <c r="AE34" i="6"/>
  <c r="AA48" i="6"/>
  <c r="AH81" i="6"/>
  <c r="W116" i="6"/>
  <c r="V81" i="6"/>
  <c r="W136" i="6"/>
  <c r="AD99" i="6"/>
  <c r="AA99" i="6"/>
  <c r="AB85" i="6"/>
  <c r="AF83" i="6"/>
  <c r="AD54" i="6"/>
  <c r="W71" i="6"/>
  <c r="AA82" i="6"/>
  <c r="AD82" i="6"/>
  <c r="V83" i="6"/>
  <c r="AC72" i="6"/>
  <c r="O40" i="7"/>
  <c r="D29" i="7"/>
  <c r="AB58" i="6"/>
  <c r="AD41" i="6"/>
  <c r="AH41" i="6"/>
  <c r="AJ41" i="6"/>
  <c r="W64" i="6"/>
  <c r="AL64" i="6" s="1"/>
  <c r="AF81" i="6"/>
  <c r="W62" i="6"/>
  <c r="AL62" i="6" s="1"/>
  <c r="V62" i="6"/>
  <c r="AK99" i="6"/>
  <c r="L13" i="7"/>
  <c r="O41" i="7"/>
  <c r="AH98" i="6"/>
  <c r="AJ81" i="6"/>
  <c r="AJ86" i="6"/>
  <c r="AH50" i="6"/>
  <c r="AB46" i="6"/>
  <c r="V72" i="6"/>
  <c r="AD56" i="6"/>
  <c r="AD45" i="6"/>
  <c r="AD81" i="6"/>
  <c r="AH74" i="6"/>
  <c r="AB81" i="6"/>
  <c r="V58" i="6"/>
  <c r="V52" i="6"/>
  <c r="AB78" i="6"/>
  <c r="AJ52" i="6"/>
  <c r="AB52" i="6"/>
  <c r="AK85" i="6"/>
  <c r="AJ29" i="6"/>
  <c r="AD19" i="6"/>
  <c r="AB36" i="6"/>
  <c r="W72" i="6"/>
  <c r="AA81" i="6"/>
  <c r="AD122" i="6"/>
  <c r="V116" i="6"/>
  <c r="AA116" i="6"/>
  <c r="AD116" i="6"/>
  <c r="AF136" i="6"/>
  <c r="AB83" i="6"/>
  <c r="V85" i="6"/>
  <c r="AF71" i="6"/>
  <c r="AE120" i="6"/>
  <c r="AK138" i="6"/>
  <c r="AC138" i="6"/>
  <c r="V138" i="6"/>
  <c r="AJ138" i="6"/>
  <c r="AF138" i="6"/>
  <c r="AH138" i="6"/>
  <c r="AD28" i="6"/>
  <c r="AE28" i="6"/>
  <c r="AK75" i="6"/>
  <c r="AH75" i="6"/>
  <c r="AJ75" i="6"/>
  <c r="AA11" i="6"/>
  <c r="AD11" i="6"/>
  <c r="W75" i="6"/>
  <c r="V75" i="6"/>
  <c r="AD124" i="6"/>
  <c r="W124" i="6"/>
  <c r="AF124" i="6"/>
  <c r="V124" i="6"/>
  <c r="AJ124" i="6"/>
  <c r="AH124" i="6"/>
  <c r="AK63" i="6"/>
  <c r="V63" i="6"/>
  <c r="AH63" i="6"/>
  <c r="AC55" i="6"/>
  <c r="AJ59" i="6"/>
  <c r="AH59" i="6"/>
  <c r="AA75" i="6"/>
  <c r="W37" i="6"/>
  <c r="AA37" i="6"/>
  <c r="AK28" i="6"/>
  <c r="AI231" i="6"/>
  <c r="O53" i="7"/>
  <c r="C53" i="7" s="1"/>
  <c r="AC75" i="6"/>
  <c r="AK86" i="6"/>
  <c r="AC28" i="6"/>
  <c r="AK32" i="6"/>
  <c r="O44" i="7"/>
  <c r="AJ6" i="6"/>
  <c r="AD63" i="6"/>
  <c r="AK55" i="6"/>
  <c r="AD35" i="6"/>
  <c r="AA35" i="6"/>
  <c r="AA63" i="6"/>
  <c r="AC63" i="6"/>
  <c r="W19" i="6"/>
  <c r="AL19" i="6" s="1"/>
  <c r="V19" i="6"/>
  <c r="AE31" i="6"/>
  <c r="AB31" i="6"/>
  <c r="AB32" i="6"/>
  <c r="W44" i="6"/>
  <c r="AL44" i="6" s="1"/>
  <c r="V44" i="6"/>
  <c r="AK68" i="6"/>
  <c r="AD68" i="6"/>
  <c r="AB68" i="6"/>
  <c r="AJ68" i="6"/>
  <c r="V68" i="6"/>
  <c r="AH68" i="6"/>
  <c r="AJ15" i="6"/>
  <c r="AH15" i="6"/>
  <c r="AF6" i="6"/>
  <c r="AE19" i="6"/>
  <c r="AA55" i="6"/>
  <c r="AA124" i="6"/>
  <c r="AH37" i="6"/>
  <c r="AE124" i="6"/>
  <c r="AC124" i="6"/>
  <c r="AB15" i="6"/>
  <c r="AE8" i="6"/>
  <c r="AC23" i="6"/>
  <c r="AK30" i="6"/>
  <c r="AC40" i="6"/>
  <c r="O54" i="7"/>
  <c r="C54" i="7" s="1"/>
  <c r="O38" i="7"/>
  <c r="C38" i="7" s="1"/>
  <c r="O45" i="7"/>
  <c r="Z231" i="6"/>
  <c r="AD66" i="6"/>
  <c r="AF55" i="6"/>
  <c r="AK31" i="6"/>
  <c r="AF61" i="6"/>
  <c r="AC53" i="6"/>
  <c r="AK29" i="6"/>
  <c r="AJ28" i="6"/>
  <c r="AH51" i="6"/>
  <c r="AH40" i="6"/>
  <c r="V35" i="6"/>
  <c r="AK40" i="6"/>
  <c r="V34" i="6"/>
  <c r="AE6" i="6"/>
  <c r="AB43" i="6"/>
  <c r="AB63" i="6"/>
  <c r="AD61" i="6"/>
  <c r="AD23" i="6"/>
  <c r="V6" i="6"/>
  <c r="AC6" i="6"/>
  <c r="V29" i="6"/>
  <c r="AA6" i="6"/>
  <c r="AF86" i="6"/>
  <c r="AA10" i="6"/>
  <c r="AD55" i="6"/>
  <c r="AB29" i="6"/>
  <c r="AB8" i="6"/>
  <c r="AA32" i="6"/>
  <c r="AH32" i="6"/>
  <c r="AD8" i="6"/>
  <c r="AK15" i="6"/>
  <c r="AH28" i="6"/>
  <c r="W30" i="6"/>
  <c r="V30" i="6"/>
  <c r="AF34" i="6"/>
  <c r="W41" i="6"/>
  <c r="W42" i="6"/>
  <c r="V42" i="6"/>
  <c r="AA46" i="6"/>
  <c r="AD46" i="6"/>
  <c r="W20" i="6"/>
  <c r="V20" i="6"/>
  <c r="AD31" i="6"/>
  <c r="AA31" i="6"/>
  <c r="V41" i="6"/>
  <c r="AB41" i="6"/>
  <c r="AK41" i="6"/>
  <c r="AJ61" i="6"/>
  <c r="AA15" i="6"/>
  <c r="AA19" i="6"/>
  <c r="AH31" i="6"/>
  <c r="W50" i="6"/>
  <c r="AL50" i="6" s="1"/>
  <c r="V50" i="6"/>
  <c r="V73" i="6"/>
  <c r="W73" i="6"/>
  <c r="AL73" i="6" s="1"/>
  <c r="AD85" i="6"/>
  <c r="AA85" i="6"/>
  <c r="AD118" i="6"/>
  <c r="W118" i="6"/>
  <c r="AF118" i="6"/>
  <c r="AC118" i="6"/>
  <c r="V118" i="6"/>
  <c r="AA118" i="6"/>
  <c r="AH118" i="6"/>
  <c r="AK67" i="6"/>
  <c r="V67" i="6"/>
  <c r="AH67" i="6"/>
  <c r="AD47" i="6"/>
  <c r="V47" i="6"/>
  <c r="AD6" i="6"/>
  <c r="AE29" i="6"/>
  <c r="AC32" i="6"/>
  <c r="AB40" i="6"/>
  <c r="AE40" i="6"/>
  <c r="AJ44" i="6"/>
  <c r="AE50" i="6"/>
  <c r="AE55" i="6"/>
  <c r="AE68" i="6"/>
  <c r="AE72" i="6"/>
  <c r="AK119" i="6"/>
  <c r="AJ119" i="6"/>
  <c r="AH119" i="6"/>
  <c r="AJ67" i="6"/>
  <c r="AE118" i="6"/>
  <c r="AH22" i="6"/>
  <c r="AC37" i="6"/>
  <c r="W38" i="6"/>
  <c r="V38" i="6"/>
  <c r="AK124" i="6"/>
  <c r="W47" i="6"/>
  <c r="AL47" i="6" s="1"/>
  <c r="V13" i="6"/>
  <c r="AA41" i="6"/>
  <c r="AB136" i="6"/>
  <c r="W84" i="6"/>
  <c r="V11" i="6"/>
  <c r="AA60" i="6"/>
  <c r="AK84" i="6"/>
  <c r="AE136" i="6"/>
  <c r="AJ136" i="6"/>
  <c r="AK118" i="6"/>
  <c r="AD17" i="6"/>
  <c r="AA17" i="6"/>
  <c r="AE20" i="6"/>
  <c r="AB20" i="6"/>
  <c r="W54" i="6"/>
  <c r="V54" i="6"/>
  <c r="AB38" i="6"/>
  <c r="AE38" i="6"/>
  <c r="AH34" i="6"/>
  <c r="AJ21" i="6"/>
  <c r="O42" i="7"/>
  <c r="Y231" i="6"/>
  <c r="X231" i="6"/>
  <c r="AF45" i="6"/>
  <c r="AJ32" i="6"/>
  <c r="AH6" i="6"/>
  <c r="AH8" i="6"/>
  <c r="AC10" i="6"/>
  <c r="V31" i="6"/>
  <c r="AD34" i="6"/>
  <c r="V37" i="6"/>
  <c r="AA8" i="6"/>
  <c r="V32" i="6"/>
  <c r="AF8" i="6"/>
  <c r="W21" i="6"/>
  <c r="AL21" i="6" s="1"/>
  <c r="V21" i="6"/>
  <c r="AB23" i="6"/>
  <c r="W23" i="6"/>
  <c r="AE23" i="6"/>
  <c r="AF28" i="6"/>
  <c r="AK121" i="6"/>
  <c r="AB121" i="6"/>
  <c r="AC121" i="6"/>
  <c r="AF121" i="6"/>
  <c r="AH121" i="6"/>
  <c r="V121" i="6"/>
  <c r="AE121" i="6"/>
  <c r="W121" i="6"/>
  <c r="AJ121" i="6"/>
  <c r="AA121" i="6"/>
  <c r="V61" i="6"/>
  <c r="AE61" i="6"/>
  <c r="AK61" i="6"/>
  <c r="AH61" i="6"/>
  <c r="AF29" i="6"/>
  <c r="AF38" i="6"/>
  <c r="AC38" i="6"/>
  <c r="AE35" i="6"/>
  <c r="V15" i="6"/>
  <c r="AB61" i="6"/>
  <c r="AH20" i="6"/>
  <c r="AJ20" i="6"/>
  <c r="AJ23" i="6"/>
  <c r="AC50" i="6"/>
  <c r="O49" i="7"/>
  <c r="O50" i="7"/>
  <c r="O47" i="7"/>
  <c r="O43" i="7"/>
  <c r="O52" i="7"/>
  <c r="O51" i="7"/>
  <c r="AC35" i="6"/>
  <c r="AJ30" i="6"/>
  <c r="AJ19" i="6"/>
  <c r="AF63" i="6"/>
  <c r="AE37" i="6"/>
  <c r="AK51" i="6"/>
  <c r="AH49" i="6"/>
  <c r="O37" i="7"/>
  <c r="C37" i="7" s="1"/>
  <c r="V78" i="6"/>
  <c r="AJ34" i="6"/>
  <c r="V51" i="6"/>
  <c r="AH72" i="6"/>
  <c r="AD62" i="6"/>
  <c r="V53" i="6"/>
  <c r="AE15" i="6"/>
  <c r="AD51" i="6"/>
  <c r="AB50" i="6"/>
  <c r="AD15" i="6"/>
  <c r="AJ85" i="6"/>
  <c r="V60" i="6"/>
  <c r="AD32" i="6"/>
  <c r="AH55" i="6"/>
  <c r="AJ11" i="6"/>
  <c r="AK37" i="6"/>
  <c r="AF78" i="6"/>
  <c r="AD75" i="6"/>
  <c r="AC34" i="6"/>
  <c r="AK10" i="6"/>
  <c r="AH10" i="6"/>
  <c r="AF17" i="6"/>
  <c r="AC17" i="6"/>
  <c r="AF23" i="6"/>
  <c r="AB34" i="6"/>
  <c r="AA68" i="6"/>
  <c r="AK13" i="6"/>
  <c r="AH13" i="6"/>
  <c r="AJ13" i="6"/>
  <c r="W28" i="6"/>
  <c r="V28" i="6"/>
  <c r="W35" i="6"/>
  <c r="AA61" i="6"/>
  <c r="W34" i="6"/>
  <c r="AF11" i="6"/>
  <c r="AC11" i="6"/>
  <c r="AF15" i="6"/>
  <c r="AA29" i="6"/>
  <c r="AD29" i="6"/>
  <c r="W31" i="6"/>
  <c r="AL31" i="6" s="1"/>
  <c r="AA50" i="6"/>
  <c r="W55" i="6"/>
  <c r="V55" i="6"/>
  <c r="AJ63" i="6"/>
  <c r="AD73" i="6"/>
  <c r="AA73" i="6"/>
  <c r="AE65" i="6"/>
  <c r="AK65" i="6"/>
  <c r="AH65" i="6"/>
  <c r="V65" i="6"/>
  <c r="AH19" i="6"/>
  <c r="AH29" i="6"/>
  <c r="AA44" i="6"/>
  <c r="AD44" i="6"/>
  <c r="W61" i="6"/>
  <c r="AL61" i="6" s="1"/>
  <c r="AJ72" i="6"/>
  <c r="AK72" i="6"/>
  <c r="AC68" i="6"/>
  <c r="AB28" i="6"/>
  <c r="AB37" i="6"/>
  <c r="AH38" i="6"/>
  <c r="AK38" i="6"/>
  <c r="AJ47" i="6"/>
  <c r="AK78" i="6"/>
  <c r="AJ78" i="6"/>
  <c r="AB124" i="6"/>
  <c r="AE81" i="6"/>
  <c r="V122" i="6"/>
  <c r="AJ122" i="6"/>
  <c r="AK122" i="6"/>
  <c r="AB122" i="6"/>
  <c r="AA122" i="6"/>
  <c r="AE122" i="6"/>
  <c r="AH122" i="6"/>
  <c r="E20" i="10"/>
  <c r="G20" i="10" s="1"/>
  <c r="AB6" i="6"/>
  <c r="AH116" i="6"/>
  <c r="AE116" i="6"/>
  <c r="AE60" i="6"/>
  <c r="W63" i="6"/>
  <c r="AL63" i="6" s="1"/>
  <c r="AE84" i="6"/>
  <c r="AK136" i="6"/>
  <c r="AH136" i="6"/>
  <c r="C46" i="7"/>
  <c r="C45" i="7"/>
  <c r="E30" i="7"/>
  <c r="J30" i="7"/>
  <c r="H30" i="7"/>
  <c r="G30" i="7"/>
  <c r="I30" i="7"/>
  <c r="AL76" i="6"/>
  <c r="C40" i="7"/>
  <c r="D30" i="7"/>
  <c r="F30" i="7"/>
  <c r="AH231" i="6" l="1"/>
  <c r="M7" i="4" s="1"/>
  <c r="M8" i="4" s="1"/>
  <c r="M9" i="4" s="1"/>
  <c r="AF231" i="6"/>
  <c r="J13" i="4" s="1"/>
  <c r="J14" i="4" s="1"/>
  <c r="J17" i="4" s="1"/>
  <c r="AK231" i="6"/>
  <c r="C52" i="7"/>
  <c r="C49" i="7"/>
  <c r="C41" i="7"/>
  <c r="C44" i="7"/>
  <c r="C39" i="7"/>
  <c r="AC231" i="6"/>
  <c r="J7" i="4" s="1"/>
  <c r="J8" i="4" s="1"/>
  <c r="J9" i="4" s="1"/>
  <c r="AE231" i="6"/>
  <c r="I13" i="4" s="1"/>
  <c r="I14" i="4" s="1"/>
  <c r="I17" i="4" s="1"/>
  <c r="C42" i="7"/>
  <c r="C43" i="7"/>
  <c r="AA231" i="6"/>
  <c r="H7" i="4" s="1"/>
  <c r="H8" i="4" s="1"/>
  <c r="H9" i="4" s="1"/>
  <c r="AD231" i="6"/>
  <c r="H13" i="4" s="1"/>
  <c r="H14" i="4" s="1"/>
  <c r="H17" i="4" s="1"/>
  <c r="AJ231" i="6"/>
  <c r="AB231" i="6"/>
  <c r="I7" i="4" s="1"/>
  <c r="I8" i="4" s="1"/>
  <c r="I10" i="4" s="1"/>
  <c r="V231" i="6"/>
  <c r="G7" i="4" s="1"/>
  <c r="G8" i="4" s="1"/>
  <c r="G10" i="4" s="1"/>
  <c r="AL231" i="6"/>
  <c r="L13" i="4" s="1"/>
  <c r="L14" i="4" s="1"/>
  <c r="L15" i="4" s="1"/>
  <c r="C51" i="7"/>
  <c r="C48" i="7"/>
  <c r="W231" i="6"/>
  <c r="G13" i="4" s="1"/>
  <c r="G14" i="4" s="1"/>
  <c r="G15" i="4" s="1"/>
  <c r="C50" i="7"/>
  <c r="C55" i="7" s="1"/>
  <c r="J10" i="4"/>
  <c r="E8" i="4"/>
  <c r="I18" i="4"/>
  <c r="E14" i="4"/>
  <c r="E17" i="4" s="1"/>
  <c r="J15" i="4"/>
  <c r="M10" i="4"/>
  <c r="J18" i="4"/>
  <c r="I15" i="4" l="1"/>
  <c r="I16" i="4" s="1"/>
  <c r="H18" i="4"/>
  <c r="G9" i="4"/>
  <c r="H15" i="4"/>
  <c r="H16" i="4" s="1"/>
  <c r="H10" i="4"/>
  <c r="E10" i="4"/>
  <c r="E9" i="4"/>
  <c r="E15" i="4"/>
  <c r="I9" i="4"/>
  <c r="J16" i="4"/>
  <c r="G18" i="4"/>
  <c r="E18" i="4"/>
  <c r="G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G Fraser</author>
  </authors>
  <commentList>
    <comment ref="B8" authorId="0" shapeId="0" xr:uid="{00000000-0006-0000-0000-000001000000}">
      <text>
        <r>
          <rPr>
            <sz val="8"/>
            <color indexed="81"/>
            <rFont val="Tahoma"/>
            <family val="2"/>
          </rPr>
          <t xml:space="preserve">
=((O5*(1-(1+Assumptions!$G$32)^(-1*(G5-Q5))))/Assumptions!$G$32)-((O5*(1-(1+Assumptions!$G$32)^(-1*(T5))))/Assumptions!$G$32)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 G Fraser</author>
  </authors>
  <commentList>
    <comment ref="L39" authorId="0" shapeId="0" xr:uid="{00000000-0006-0000-0400-000001000000}">
      <text>
        <r>
          <rPr>
            <b/>
            <sz val="8"/>
            <color indexed="81"/>
            <rFont val="Tahoma"/>
            <family val="2"/>
          </rPr>
          <t>Option 1</t>
        </r>
        <r>
          <rPr>
            <sz val="8"/>
            <color indexed="81"/>
            <rFont val="Tahoma"/>
            <family val="2"/>
          </rPr>
          <t xml:space="preserve">
Column J calculates the average benefit already accrued for each age group under the $28,500 benefit</t>
        </r>
      </text>
    </comment>
    <comment ref="M39" authorId="0" shapeId="0" xr:uid="{00000000-0006-0000-0400-000002000000}">
      <text>
        <r>
          <rPr>
            <b/>
            <sz val="8"/>
            <color indexed="81"/>
            <rFont val="Tahoma"/>
            <family val="2"/>
          </rPr>
          <t>Option 2</t>
        </r>
        <r>
          <rPr>
            <sz val="8"/>
            <color indexed="81"/>
            <rFont val="Tahoma"/>
            <family val="2"/>
          </rPr>
          <t xml:space="preserve">
Column K calculates the average benefit already accrued for each age group under the $36,000 benefit</t>
        </r>
      </text>
    </comment>
    <comment ref="N39" authorId="0" shapeId="0" xr:uid="{00000000-0006-0000-0400-000003000000}">
      <text>
        <r>
          <rPr>
            <b/>
            <sz val="8"/>
            <color indexed="81"/>
            <rFont val="Tahoma"/>
            <family val="2"/>
          </rPr>
          <t>Option 3</t>
        </r>
        <r>
          <rPr>
            <sz val="8"/>
            <color indexed="81"/>
            <rFont val="Tahoma"/>
            <family val="2"/>
          </rPr>
          <t xml:space="preserve">
Column L calculates the average benefit already accrued for each age group under the $28,500 benefit less an estimated amount from an AF of M plan. </t>
        </r>
        <r>
          <rPr>
            <b/>
            <sz val="8"/>
            <color indexed="81"/>
            <rFont val="Tahoma"/>
            <family val="2"/>
          </rPr>
          <t>Note: the offset cannot go below the $28,500 benefit.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 G Fraser</author>
  </authors>
  <commentList>
    <comment ref="X4" authorId="0" shapeId="0" xr:uid="{00000000-0006-0000-0600-000001000000}">
      <text>
        <r>
          <rPr>
            <b/>
            <sz val="8"/>
            <color indexed="81"/>
            <rFont val="Tahoma"/>
            <family val="2"/>
          </rPr>
          <t>John G Fraser:</t>
        </r>
        <r>
          <rPr>
            <sz val="8"/>
            <color indexed="81"/>
            <rFont val="Tahoma"/>
            <family val="2"/>
          </rPr>
          <t xml:space="preserve">
This Column calculates the estimated benefit at retirement By looking up current years of service and age using the maximum benefit on the assumptions worksheet in a lookup.</t>
        </r>
      </text>
    </comment>
    <comment ref="AI4" authorId="0" shapeId="0" xr:uid="{00000000-0006-0000-0600-000002000000}">
      <text>
        <r>
          <rPr>
            <b/>
            <sz val="8"/>
            <color indexed="81"/>
            <rFont val="Tahoma"/>
            <family val="2"/>
          </rPr>
          <t>John G Fraser:</t>
        </r>
        <r>
          <rPr>
            <sz val="8"/>
            <color indexed="81"/>
            <rFont val="Tahoma"/>
            <family val="2"/>
          </rPr>
          <t xml:space="preserve">
source for annual benefit is lump sum column</t>
        </r>
      </text>
    </comment>
  </commentList>
</comments>
</file>

<file path=xl/sharedStrings.xml><?xml version="1.0" encoding="utf-8"?>
<sst xmlns="http://schemas.openxmlformats.org/spreadsheetml/2006/main" count="1827" uniqueCount="534">
  <si>
    <t>Employee Name</t>
  </si>
  <si>
    <t>Birthdate</t>
  </si>
  <si>
    <t>Date of Hire</t>
  </si>
  <si>
    <t>Years Service</t>
  </si>
  <si>
    <t>Sex</t>
  </si>
  <si>
    <t>f</t>
  </si>
  <si>
    <t>m</t>
  </si>
  <si>
    <t>DOB</t>
  </si>
  <si>
    <t>SS#</t>
  </si>
  <si>
    <t>BENEFITS FROZE 9/1/82</t>
  </si>
  <si>
    <t>STAFF</t>
  </si>
  <si>
    <t>MONTH</t>
  </si>
  <si>
    <t>SEPARATED</t>
  </si>
  <si>
    <t>TERMINATED VESTED PARTICIPANTS/NOT RECEIVING BENEFITS</t>
  </si>
  <si>
    <t>2/22/97</t>
  </si>
  <si>
    <t>1/29/92</t>
  </si>
  <si>
    <t>3/10/96</t>
  </si>
  <si>
    <t>date of death</t>
  </si>
  <si>
    <t>deceased retiree</t>
  </si>
  <si>
    <t>$ per month</t>
  </si>
  <si>
    <t>benef.</t>
  </si>
  <si>
    <t>beneficiaries receiving benefits</t>
  </si>
  <si>
    <t>staff</t>
  </si>
  <si>
    <t>STAFF RETIREES</t>
  </si>
  <si>
    <t>normal/100% J&amp;S</t>
  </si>
  <si>
    <t>12.5</t>
  </si>
  <si>
    <t>65</t>
  </si>
  <si>
    <t>Early/l0 yr certain</t>
  </si>
  <si>
    <t>31</t>
  </si>
  <si>
    <t>55</t>
  </si>
  <si>
    <t>of Service</t>
  </si>
  <si>
    <t>DOR</t>
  </si>
  <si>
    <t>$ Per Mo.</t>
  </si>
  <si>
    <t>Retirees</t>
  </si>
  <si>
    <t>Spous/Bene</t>
  </si>
  <si>
    <t>Retirement Option</t>
  </si>
  <si>
    <t>Years</t>
  </si>
  <si>
    <t>Age at</t>
  </si>
  <si>
    <t>Retirement</t>
  </si>
  <si>
    <t>Monthly</t>
  </si>
  <si>
    <t>Terminated Vested Receiving' Benefits</t>
  </si>
  <si>
    <t>Life Only</t>
  </si>
  <si>
    <t>Employee</t>
  </si>
  <si>
    <t>Receiving Benefits under QDRO</t>
  </si>
  <si>
    <t>34</t>
  </si>
  <si>
    <t>66</t>
  </si>
  <si>
    <t>Normal/50% J&amp;S</t>
  </si>
  <si>
    <t>40</t>
  </si>
  <si>
    <t>24</t>
  </si>
  <si>
    <t>60</t>
  </si>
  <si>
    <t>Normal/l00% J&amp;S</t>
  </si>
  <si>
    <t>39</t>
  </si>
  <si>
    <t>Normal/75% J&amp;S</t>
  </si>
  <si>
    <t>32</t>
  </si>
  <si>
    <t>62</t>
  </si>
  <si>
    <t>Deferred/Straight Life</t>
  </si>
  <si>
    <t>43</t>
  </si>
  <si>
    <t>70</t>
  </si>
  <si>
    <t>70 1/2 rule/75% Contigent Bene.</t>
  </si>
  <si>
    <t>29</t>
  </si>
  <si>
    <t>23</t>
  </si>
  <si>
    <t>Deferred/100% J&amp;S</t>
  </si>
  <si>
    <t>70 1/2 rule/l00% J&amp;S</t>
  </si>
  <si>
    <t>75</t>
  </si>
  <si>
    <t>n/a</t>
  </si>
  <si>
    <t>Life Only Option</t>
  </si>
  <si>
    <t>37</t>
  </si>
  <si>
    <t>100% J&amp;S</t>
  </si>
  <si>
    <t xml:space="preserve">70 1/2 rule 4/93-10yr Certain </t>
  </si>
  <si>
    <t>74</t>
  </si>
  <si>
    <t>26</t>
  </si>
  <si>
    <t>10 yr certain &amp; life</t>
  </si>
  <si>
    <t>50% J &amp; S</t>
  </si>
  <si>
    <t>Date</t>
  </si>
  <si>
    <t>Pension</t>
  </si>
  <si>
    <t>med. sup.</t>
  </si>
  <si>
    <t>receiving</t>
  </si>
  <si>
    <t>June 26, 1997</t>
  </si>
  <si>
    <t>age at</t>
  </si>
  <si>
    <t>retirement</t>
  </si>
  <si>
    <t>deferred/10 yr certain</t>
  </si>
  <si>
    <t>life only</t>
  </si>
  <si>
    <t>100%J&amp;S</t>
  </si>
  <si>
    <t>name</t>
  </si>
  <si>
    <t>sex</t>
  </si>
  <si>
    <t>ACTIVE STAFF FROZEN AS OF 9/1/82</t>
  </si>
  <si>
    <t>Accrued</t>
  </si>
  <si>
    <t>Retirement Date</t>
  </si>
  <si>
    <t>option</t>
  </si>
  <si>
    <t>10yr certain</t>
  </si>
  <si>
    <t>J &amp;s</t>
  </si>
  <si>
    <t>Option</t>
  </si>
  <si>
    <t>on LTD</t>
  </si>
  <si>
    <t>Special survivor benefit for active</t>
  </si>
  <si>
    <t>10 yr certain</t>
  </si>
  <si>
    <t>Eff. Date of Ben.</t>
  </si>
  <si>
    <t>Amount</t>
  </si>
  <si>
    <t>10/yr certain</t>
  </si>
  <si>
    <t>J &amp;s 50%</t>
  </si>
  <si>
    <t>Life only</t>
  </si>
  <si>
    <t>Spouse DOB</t>
  </si>
  <si>
    <t xml:space="preserve">Spouse /Beneficiary </t>
  </si>
  <si>
    <t>Active Staff receiving monthly retirement benefits under the 70 1/2 rule</t>
  </si>
  <si>
    <t>Single Coverage to 65</t>
  </si>
  <si>
    <t>Active</t>
  </si>
  <si>
    <t>Active70.5</t>
  </si>
  <si>
    <t>LTD</t>
  </si>
  <si>
    <t>TermVest</t>
  </si>
  <si>
    <t>Retired</t>
  </si>
  <si>
    <t>Beneficiaries</t>
  </si>
  <si>
    <t>Beneficiary Name</t>
  </si>
  <si>
    <t>Comments</t>
  </si>
  <si>
    <t>Date of Death</t>
  </si>
  <si>
    <t>Number</t>
  </si>
  <si>
    <t>Count</t>
  </si>
  <si>
    <t>Employees Receiving Benefits</t>
  </si>
  <si>
    <t>Ages From</t>
  </si>
  <si>
    <t>&gt;=20</t>
  </si>
  <si>
    <t>&gt;=25</t>
  </si>
  <si>
    <t>&gt;=30</t>
  </si>
  <si>
    <t>&gt;=35</t>
  </si>
  <si>
    <t>&gt;=40</t>
  </si>
  <si>
    <t>&gt;=45</t>
  </si>
  <si>
    <t>&gt;=50</t>
  </si>
  <si>
    <t>&gt;=55</t>
  </si>
  <si>
    <t>&gt;=60</t>
  </si>
  <si>
    <t>&gt;=65</t>
  </si>
  <si>
    <t>Current Age</t>
  </si>
  <si>
    <t>Retire Age</t>
  </si>
  <si>
    <t>&gt;=15</t>
  </si>
  <si>
    <t>Tier1</t>
  </si>
  <si>
    <t>Tier2</t>
  </si>
  <si>
    <t>Tier3</t>
  </si>
  <si>
    <t>Tier4</t>
  </si>
  <si>
    <t>Tier5</t>
  </si>
  <si>
    <t>Tier6</t>
  </si>
  <si>
    <t>Tier7</t>
  </si>
  <si>
    <t>Tier8</t>
  </si>
  <si>
    <t>Tier9</t>
  </si>
  <si>
    <t>Tier10</t>
  </si>
  <si>
    <t>Tier11</t>
  </si>
  <si>
    <t>Total</t>
  </si>
  <si>
    <t>Less four</t>
  </si>
  <si>
    <t>&lt;=64.999</t>
  </si>
  <si>
    <t>&lt;=59.999</t>
  </si>
  <si>
    <t>&lt;=54.999</t>
  </si>
  <si>
    <t>&lt;=49.999</t>
  </si>
  <si>
    <t>&lt;=44.999</t>
  </si>
  <si>
    <t>&lt;=39.999</t>
  </si>
  <si>
    <t>&lt;=34.999</t>
  </si>
  <si>
    <t>&lt;=29.999</t>
  </si>
  <si>
    <t>&lt;=24.999</t>
  </si>
  <si>
    <t>&lt;=19.999</t>
  </si>
  <si>
    <t>Age</t>
  </si>
  <si>
    <t>15-19</t>
  </si>
  <si>
    <t>20-24</t>
  </si>
  <si>
    <t>25-29</t>
  </si>
  <si>
    <t>30-34</t>
  </si>
  <si>
    <t>35-39</t>
  </si>
  <si>
    <t>40-44</t>
  </si>
  <si>
    <t>45-49</t>
  </si>
  <si>
    <t>50-54</t>
  </si>
  <si>
    <t>55-59</t>
  </si>
  <si>
    <t>60-64</t>
  </si>
  <si>
    <t>over 64</t>
  </si>
  <si>
    <t>StatusCode</t>
  </si>
  <si>
    <t>Not</t>
  </si>
  <si>
    <t>5-9</t>
  </si>
  <si>
    <t>10-14</t>
  </si>
  <si>
    <t>&gt;=0</t>
  </si>
  <si>
    <t>&lt;=4.9999</t>
  </si>
  <si>
    <t>&gt;=5</t>
  </si>
  <si>
    <t>&lt;=9.9999</t>
  </si>
  <si>
    <t>Years of Service 5-9</t>
  </si>
  <si>
    <t>Years of Service 0-4</t>
  </si>
  <si>
    <t>Years of Service 10-14</t>
  </si>
  <si>
    <t>&gt;=10</t>
  </si>
  <si>
    <t>&lt;=14.999</t>
  </si>
  <si>
    <t>Years of Service 15-19</t>
  </si>
  <si>
    <t>Years of Service 20-24</t>
  </si>
  <si>
    <t>Years of Service 25-29</t>
  </si>
  <si>
    <t>Years of Service 30+</t>
  </si>
  <si>
    <t>TierBx</t>
  </si>
  <si>
    <t>TierCx</t>
  </si>
  <si>
    <t>TierDx</t>
  </si>
  <si>
    <t>TierEx</t>
  </si>
  <si>
    <t>TierFx</t>
  </si>
  <si>
    <t>TierGx</t>
  </si>
  <si>
    <t>0-4</t>
  </si>
  <si>
    <t>30+</t>
  </si>
  <si>
    <t>Defined Benefit Pension Analysis</t>
  </si>
  <si>
    <t>Assumptions</t>
  </si>
  <si>
    <t>Net Present Value of Plan Assets</t>
  </si>
  <si>
    <t>Option 1</t>
  </si>
  <si>
    <t>Option 2</t>
  </si>
  <si>
    <t>Discount Rate</t>
  </si>
  <si>
    <t>Salary Growth</t>
  </si>
  <si>
    <t>COLA Rate</t>
  </si>
  <si>
    <t>Retirement Age</t>
  </si>
  <si>
    <t>Current</t>
  </si>
  <si>
    <t>Years of Service</t>
  </si>
  <si>
    <t>@ 08/31/2001</t>
  </si>
  <si>
    <t>Years To</t>
  </si>
  <si>
    <t>Liability</t>
  </si>
  <si>
    <t>No COLA</t>
  </si>
  <si>
    <t>Benefit</t>
  </si>
  <si>
    <t>Employeee</t>
  </si>
  <si>
    <t>Life</t>
  </si>
  <si>
    <t>Expectancy</t>
  </si>
  <si>
    <t>Annual</t>
  </si>
  <si>
    <t>M</t>
  </si>
  <si>
    <t>F</t>
  </si>
  <si>
    <t>At Retirement</t>
  </si>
  <si>
    <t>Estimated</t>
  </si>
  <si>
    <t>Years of Serv.</t>
  </si>
  <si>
    <t>Actual</t>
  </si>
  <si>
    <t>SSN#</t>
  </si>
  <si>
    <t>as of 9/1/00</t>
  </si>
  <si>
    <t>A</t>
  </si>
  <si>
    <t>B</t>
  </si>
  <si>
    <t>C</t>
  </si>
  <si>
    <t>D</t>
  </si>
  <si>
    <t>E</t>
  </si>
  <si>
    <t>G</t>
  </si>
  <si>
    <t>H</t>
  </si>
  <si>
    <t>I</t>
  </si>
  <si>
    <t>J</t>
  </si>
  <si>
    <t>K</t>
  </si>
  <si>
    <t>Range</t>
  </si>
  <si>
    <t>NPV Pension</t>
  </si>
  <si>
    <t>Report</t>
  </si>
  <si>
    <t>Total Musicians Not Retired</t>
  </si>
  <si>
    <t>Option 3</t>
  </si>
  <si>
    <t>FY 2001</t>
  </si>
  <si>
    <t>9-1-00 Data</t>
  </si>
  <si>
    <t>9-1-01 Data</t>
  </si>
  <si>
    <t>FY 2002</t>
  </si>
  <si>
    <t>Net Present Value of Current Liability</t>
  </si>
  <si>
    <t>Currently</t>
  </si>
  <si>
    <t>NPV</t>
  </si>
  <si>
    <t>Lump Sum</t>
  </si>
  <si>
    <t>Rec. Benefits as of</t>
  </si>
  <si>
    <t>50% J&amp;S</t>
  </si>
  <si>
    <t>10yr certain &amp; life</t>
  </si>
  <si>
    <t>75% J&amp;S</t>
  </si>
  <si>
    <t>will be hired in Sept 2001</t>
  </si>
  <si>
    <t>Male Life Expectancy (GAM 83 Table)</t>
  </si>
  <si>
    <t xml:space="preserve">Lump  </t>
  </si>
  <si>
    <t xml:space="preserve">Sum </t>
  </si>
  <si>
    <t>OPtion1</t>
  </si>
  <si>
    <t>Option2</t>
  </si>
  <si>
    <t>Option3</t>
  </si>
  <si>
    <t>Rate</t>
  </si>
  <si>
    <t>To</t>
  </si>
  <si>
    <t>Option1</t>
  </si>
  <si>
    <t>Percent Funded</t>
  </si>
  <si>
    <t>Cash Required to get to 90% funded</t>
  </si>
  <si>
    <t>This page left blank</t>
  </si>
  <si>
    <t>Retirees In FY 2001</t>
  </si>
  <si>
    <t>9-1-01</t>
  </si>
  <si>
    <t>9-1-00</t>
  </si>
  <si>
    <t>Better</t>
  </si>
  <si>
    <t>(Worse)</t>
  </si>
  <si>
    <t>Female Life Expectancy (GAM 83 Table)</t>
  </si>
  <si>
    <t>PBGC</t>
  </si>
  <si>
    <t>Age Ranges</t>
  </si>
  <si>
    <t>If older than retirement…</t>
  </si>
  <si>
    <t>...number of years until retirement</t>
  </si>
  <si>
    <t>Under $4,000</t>
  </si>
  <si>
    <t>Over</t>
  </si>
  <si>
    <t>$4,000 and over up to $5,999</t>
  </si>
  <si>
    <t>Freeze</t>
  </si>
  <si>
    <t>Average</t>
  </si>
  <si>
    <t>Offset</t>
  </si>
  <si>
    <t>With</t>
  </si>
  <si>
    <t>$28,500 Accrued Bene.</t>
  </si>
  <si>
    <t>$36,000 Accrued Bene.</t>
  </si>
  <si>
    <t>$36K Benefit</t>
  </si>
  <si>
    <t>$28.5K Benefit</t>
  </si>
  <si>
    <t>@$28,500</t>
  </si>
  <si>
    <t>@$36,000</t>
  </si>
  <si>
    <t>Offset to $36K</t>
  </si>
  <si>
    <t>PBGC Current Liability Rate</t>
  </si>
  <si>
    <t>Plan Assets Versus Accrued Liability</t>
  </si>
  <si>
    <t>Current %</t>
  </si>
  <si>
    <t>Saint Louis Symphony - Defined Benefit Pension Analysis</t>
  </si>
  <si>
    <t>9% int</t>
  </si>
  <si>
    <t>Lump Sum %</t>
  </si>
  <si>
    <t>NPV Accrued Liability (AAL)</t>
  </si>
  <si>
    <t>Termination/Mortality Factor</t>
  </si>
  <si>
    <r>
      <t xml:space="preserve">Plan Assets Versus </t>
    </r>
    <r>
      <rPr>
        <b/>
        <sz val="10"/>
        <rFont val="Arial"/>
        <family val="2"/>
      </rPr>
      <t>Current</t>
    </r>
    <r>
      <rPr>
        <sz val="10"/>
        <rFont val="Arial"/>
        <family val="2"/>
      </rPr>
      <t xml:space="preserve"> Liability</t>
    </r>
  </si>
  <si>
    <t>Formula Changes Here</t>
  </si>
  <si>
    <t>To Retirement</t>
  </si>
  <si>
    <t>Accrued Liability Analysis (9% Discount)</t>
  </si>
  <si>
    <t>To Retire</t>
  </si>
  <si>
    <t>Benefit Calculation Changes to Actual Here</t>
  </si>
  <si>
    <t>not retired</t>
  </si>
  <si>
    <t xml:space="preserve"> CL Interest </t>
  </si>
  <si>
    <t>Rate %</t>
  </si>
  <si>
    <t>Curr. Liab</t>
  </si>
  <si>
    <t>Acc. Int</t>
  </si>
  <si>
    <t>Over 50</t>
  </si>
  <si>
    <t>Current Liability Analysis (6.26%,6.08% Discount)</t>
  </si>
  <si>
    <t>L</t>
  </si>
  <si>
    <t>$28,5K min</t>
  </si>
  <si>
    <t>Use for Calculation</t>
  </si>
  <si>
    <t>Discount</t>
  </si>
  <si>
    <t>Sample Rate</t>
  </si>
  <si>
    <t>Life Expectance Age</t>
  </si>
  <si>
    <t>Years to Retirement</t>
  </si>
  <si>
    <t>Percent of 84</t>
  </si>
  <si>
    <t>AL Termination/Mortality/Option %</t>
  </si>
  <si>
    <t>Market Value of Investments</t>
  </si>
  <si>
    <t>The net present value of all future payments to retirees for the benefits they have already earned, using a discount rate that estimates future earnings.</t>
  </si>
  <si>
    <t>The net present value in this model does not account for mortality, terminations, and the retirees selection of the four different retirement payment options. This factor accounts for all of these factors that can change the net present value when any of those events occur.</t>
  </si>
  <si>
    <t>The sum of Line one, two and three.</t>
  </si>
  <si>
    <t>Line six divided by (Line seven plus Line eight.) The PBCG requires funding when the assets of the plan fall below 90% of the current liability.</t>
  </si>
  <si>
    <r>
      <t xml:space="preserve">Plan Assets Versus </t>
    </r>
    <r>
      <rPr>
        <b/>
        <sz val="12"/>
        <rFont val="Arial"/>
        <family val="2"/>
      </rPr>
      <t>Current</t>
    </r>
    <r>
      <rPr>
        <sz val="12"/>
        <rFont val="Arial"/>
        <family val="2"/>
      </rPr>
      <t xml:space="preserve"> Liability</t>
    </r>
  </si>
  <si>
    <t>Improvement Compared to Column B</t>
  </si>
  <si>
    <t>Current Liability Analysis (6.26%,6.06% Discount)</t>
  </si>
  <si>
    <t>Columns B thru I</t>
  </si>
  <si>
    <t>1- 12</t>
  </si>
  <si>
    <t>Shows participant count by age group and years of service</t>
  </si>
  <si>
    <t>Column J thru K</t>
  </si>
  <si>
    <t>1-12</t>
  </si>
  <si>
    <t>Line Number</t>
  </si>
  <si>
    <t>13 - 16</t>
  </si>
  <si>
    <t>Calculate average accrued benefit for each group by years of service. Line 13 and 14 is the calculation under the $28,500 benefit. Line 15 and 16 is the calculation under the $36,000 benefit.</t>
  </si>
  <si>
    <t>17 - 35</t>
  </si>
  <si>
    <t>Shows the number of musicians that have accrued the listed amount under the $36,000 benefit.</t>
  </si>
  <si>
    <t>Calculate the average accrued benefit for each of the age groups under both the $28,500 accrued benefit and the $36,000 benefit</t>
  </si>
  <si>
    <t>Column L</t>
  </si>
  <si>
    <t>Calculate what the accrued benefit would be under an "offset" plan. Offset means that the pension benefit would be reduced by any amount received under the AF of M plan. Note that the offset does not go below what has already been accrued under the $28,500 benefit.</t>
  </si>
  <si>
    <t>Employee 1</t>
  </si>
  <si>
    <t>Employee  2</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</si>
  <si>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</si>
  <si>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</si>
  <si>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</si>
  <si>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</si>
  <si>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</si>
  <si>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</si>
  <si>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</si>
  <si>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</si>
  <si>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</si>
  <si>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</si>
  <si>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</si>
  <si>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</si>
  <si>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</si>
  <si>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</si>
  <si>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</si>
  <si>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</si>
  <si>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</si>
  <si>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</si>
  <si>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</si>
  <si>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</si>
  <si>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</si>
  <si>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</si>
  <si>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</si>
  <si>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</si>
  <si>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</si>
  <si>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</si>
  <si>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</si>
  <si>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</si>
  <si>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</si>
  <si>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</si>
  <si>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</si>
  <si>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</si>
  <si>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</si>
  <si>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</si>
  <si>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</si>
  <si>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</si>
  <si>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</si>
  <si>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</si>
  <si>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</si>
  <si>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</si>
  <si>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</si>
  <si>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</si>
  <si>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</si>
  <si>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</si>
  <si>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</si>
  <si>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</si>
  <si>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</si>
  <si>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50</t>
  </si>
  <si>
    <t>Employee 51</t>
  </si>
  <si>
    <t>Employee 52</t>
  </si>
  <si>
    <t>Employee 53</t>
  </si>
  <si>
    <t>Employee 54</t>
  </si>
  <si>
    <t>Employee 55</t>
  </si>
  <si>
    <t>Employee 56</t>
  </si>
  <si>
    <t>Employee 57</t>
  </si>
  <si>
    <t>Employee 58</t>
  </si>
  <si>
    <t>Employee 59</t>
  </si>
  <si>
    <t>Employee 60</t>
  </si>
  <si>
    <t>Employee 61</t>
  </si>
  <si>
    <t>Employee 62</t>
  </si>
  <si>
    <t>Employee 63</t>
  </si>
  <si>
    <t>Employee 64</t>
  </si>
  <si>
    <t>Employee 65</t>
  </si>
  <si>
    <t>Employee 66</t>
  </si>
  <si>
    <t>Employee 67</t>
  </si>
  <si>
    <t>Employee 68</t>
  </si>
  <si>
    <t>Employee 69</t>
  </si>
  <si>
    <t>Employee 70</t>
  </si>
  <si>
    <t>Employee 71</t>
  </si>
  <si>
    <t>Employee 72</t>
  </si>
  <si>
    <t>Employee 73</t>
  </si>
  <si>
    <t>Employee 74</t>
  </si>
  <si>
    <t>Employee 75</t>
  </si>
  <si>
    <t>Employee 76</t>
  </si>
  <si>
    <t>Employee 77</t>
  </si>
  <si>
    <t>Employee 78</t>
  </si>
  <si>
    <t>Employee 79</t>
  </si>
  <si>
    <t>Employee 80</t>
  </si>
  <si>
    <t>Employee 81</t>
  </si>
  <si>
    <t>Employee 82</t>
  </si>
  <si>
    <t>Employee 83</t>
  </si>
  <si>
    <t>Employee 84</t>
  </si>
  <si>
    <t>Employee 85</t>
  </si>
  <si>
    <t>Employee 86</t>
  </si>
  <si>
    <t>Employee 87</t>
  </si>
  <si>
    <t>Employee 88</t>
  </si>
  <si>
    <t>Employee 89</t>
  </si>
  <si>
    <t>Employee 90</t>
  </si>
  <si>
    <t>Employee 91</t>
  </si>
  <si>
    <t>Employee 92</t>
  </si>
  <si>
    <t>Employee 93</t>
  </si>
  <si>
    <t>Employee 94</t>
  </si>
  <si>
    <t>Employee 95</t>
  </si>
  <si>
    <t>Employee 96</t>
  </si>
  <si>
    <t>Employee 97</t>
  </si>
  <si>
    <t>Employee 98</t>
  </si>
  <si>
    <t>Employee 99</t>
  </si>
  <si>
    <t>Employee 100</t>
  </si>
  <si>
    <t>Employee 101</t>
  </si>
  <si>
    <t>Employee 102</t>
  </si>
  <si>
    <t>Employee 103</t>
  </si>
  <si>
    <t>Employee 104</t>
  </si>
  <si>
    <t>Employee 105</t>
  </si>
  <si>
    <t>Employee 106</t>
  </si>
  <si>
    <t>Employee 107</t>
  </si>
  <si>
    <t>Employee 108</t>
  </si>
  <si>
    <t>Employee 109</t>
  </si>
  <si>
    <t>Employee 110</t>
  </si>
  <si>
    <t>Employee 111</t>
  </si>
  <si>
    <t>Employee 112</t>
  </si>
  <si>
    <t>Employee 113</t>
  </si>
  <si>
    <t>Employee 114</t>
  </si>
  <si>
    <t>Retiree 1</t>
  </si>
  <si>
    <t>Retiree 2</t>
  </si>
  <si>
    <t>Retiree 3</t>
  </si>
  <si>
    <t>Retiree 4</t>
  </si>
  <si>
    <t>Retiree 5</t>
  </si>
  <si>
    <t>Retiree 6</t>
  </si>
  <si>
    <t>Retiree 7</t>
  </si>
  <si>
    <t>Retiree 8</t>
  </si>
  <si>
    <t>Retiree 9</t>
  </si>
  <si>
    <t>Retiree 10</t>
  </si>
  <si>
    <t>Retiree 11</t>
  </si>
  <si>
    <t>Retiree 12</t>
  </si>
  <si>
    <t>Retiree 13</t>
  </si>
  <si>
    <t>Retiree 14</t>
  </si>
  <si>
    <t>Retiree 15</t>
  </si>
  <si>
    <t>Retiree 16</t>
  </si>
  <si>
    <t>Retiree 17</t>
  </si>
  <si>
    <t>Retiree 18</t>
  </si>
  <si>
    <t>Retiree 19</t>
  </si>
  <si>
    <t>Retiree 20</t>
  </si>
  <si>
    <t>Retiree 21</t>
  </si>
  <si>
    <t>Retiree 22</t>
  </si>
  <si>
    <t>Retiree 23</t>
  </si>
  <si>
    <t>Retiree 24</t>
  </si>
  <si>
    <t>Retiree 25</t>
  </si>
  <si>
    <t>Retiree 26</t>
  </si>
  <si>
    <t>Retiree 27</t>
  </si>
  <si>
    <t>Retiree 28</t>
  </si>
  <si>
    <t>Retiree 29</t>
  </si>
  <si>
    <t>Retiree 30</t>
  </si>
  <si>
    <t>Retiree 31</t>
  </si>
  <si>
    <t>Retiree 32</t>
  </si>
  <si>
    <t>Retiree 33</t>
  </si>
  <si>
    <t>Retiree 34</t>
  </si>
  <si>
    <t>Retiree 35</t>
  </si>
  <si>
    <t>Retiree 36</t>
  </si>
  <si>
    <t>Retiree 37</t>
  </si>
  <si>
    <t>Retiree 38</t>
  </si>
  <si>
    <t>Retiree 39</t>
  </si>
  <si>
    <t>Retiree 40</t>
  </si>
  <si>
    <t>Retiree 41</t>
  </si>
  <si>
    <t>Retiree 42</t>
  </si>
  <si>
    <t>Retiree 43</t>
  </si>
  <si>
    <t>Retiree 44</t>
  </si>
  <si>
    <t>Retiree 45</t>
  </si>
  <si>
    <t>Retiree 46</t>
  </si>
  <si>
    <t>Retiree 47</t>
  </si>
  <si>
    <t>Retiree 48</t>
  </si>
  <si>
    <t>Retiree 49</t>
  </si>
  <si>
    <t>Retiree 50</t>
  </si>
  <si>
    <t>Retiree 51</t>
  </si>
  <si>
    <t>Retiree 52</t>
  </si>
  <si>
    <t>Retiree 53</t>
  </si>
  <si>
    <t>Retiree 54</t>
  </si>
  <si>
    <t>Retiree 55</t>
  </si>
  <si>
    <t>Retiree 56</t>
  </si>
  <si>
    <t>Retiree 57</t>
  </si>
  <si>
    <t>Retiree 58</t>
  </si>
  <si>
    <t>Retiree 59</t>
  </si>
  <si>
    <t>Beneficiary 41</t>
  </si>
  <si>
    <t>Beneficiary 42</t>
  </si>
  <si>
    <t>Beneficiary 43</t>
  </si>
  <si>
    <t>Beneficiary 44</t>
  </si>
  <si>
    <t>Beneficiary 50</t>
  </si>
  <si>
    <t>Beneficiary 51</t>
  </si>
  <si>
    <t>Beneficiary 53</t>
  </si>
  <si>
    <t>Beneficiary 54</t>
  </si>
  <si>
    <t>Beneficiary 55</t>
  </si>
  <si>
    <t>Beneficiary 56</t>
  </si>
  <si>
    <t>Beneficiary 57</t>
  </si>
  <si>
    <t>Beneficiary 58</t>
  </si>
  <si>
    <t>Beneficiary 59</t>
  </si>
  <si>
    <t>Beneficiary 1</t>
  </si>
  <si>
    <t>Beneficiary 4</t>
  </si>
  <si>
    <t>Beneficary 5</t>
  </si>
  <si>
    <t>New</t>
  </si>
  <si>
    <t>Company XYZ - Defined Benefit Pension Analysis</t>
  </si>
  <si>
    <t>Company XYZ</t>
  </si>
  <si>
    <t>Company XYZ - Pension Analysis- FY 2000 Data</t>
  </si>
  <si>
    <t>Net Present value</t>
  </si>
  <si>
    <t>The net present value of all future payments to retirees for the benefits they have already earned, using a discount rate prescribed by the PBGC. The PBGC rate is generally lower than the rate that estimates future earnings.</t>
  </si>
  <si>
    <t>The sum of Line six, seven, and eight.</t>
  </si>
  <si>
    <t>Active employees  receiving monthly retirement benefits under the 70 1/2 rule</t>
  </si>
  <si>
    <t>Employees on Long Term Disability</t>
  </si>
  <si>
    <t>Employees on Leave of Absence</t>
  </si>
  <si>
    <t>Employees</t>
  </si>
  <si>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</sst>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quot;#,##0.00_);\(&quot;$&quot;#,##0.00\)"/>
    <numFmt numFmtId="8" formatCode="&quot;$&quot;#,##0.00_);[Red]\(&quot;$&quot;#,##0.00\)"/>
    <numFmt numFmtId="44" formatCode="_(&quot;$&quot;* #,##0.00_);_(&quot;$&quot;* \(#,##0.00\);_(&quot;$&quot;* &quot;-&quot;??_);_(@_)"/>
    <numFmt numFmtId="43" formatCode="_(* #,##0.00_);_(* \(#,##0.00\);_(* &quot;-&quot;??_);_(@_)"/>
    <numFmt numFmtId="164" formatCode="mm/dd/yy_)"/>
    <numFmt numFmtId="165" formatCode="_(* #,##0_);_(* \(#,##0\);_(* &quot;-&quot;??_);_(@_)"/>
    <numFmt numFmtId="166" formatCode="0.00_)"/>
    <numFmt numFmtId="167" formatCode="_(&quot;$&quot;* #,##0_);_(&quot;$&quot;* \(#,##0\);_(&quot;$&quot;* &quot;-&quot;??_);_(@_)"/>
    <numFmt numFmtId="168" formatCode="0.0%"/>
    <numFmt numFmtId="169" formatCode="_(* #,##0.0_);_(* \(#,##0.0\);_(* &quot;-&quot;??_);_(@_)"/>
    <numFmt numFmtId="170" formatCode="#,##0.0_);\(#,##0.0\)"/>
  </numFmts>
  <fonts count="30" x14ac:knownFonts="1">
    <font>
      <sz val="10"/>
      <name val="Arial"/>
    </font>
    <font>
      <sz val="10"/>
      <name val="Arial"/>
      <family val="2"/>
    </font>
    <font>
      <b/>
      <sz val="10"/>
      <name val="Arial"/>
      <family val="2"/>
    </font>
    <font>
      <b/>
      <sz val="10"/>
      <name val="Times New Roman"/>
      <family val="1"/>
    </font>
    <font>
      <sz val="10"/>
      <name val="Arial"/>
      <family val="2"/>
    </font>
    <font>
      <b/>
      <sz val="10"/>
      <name val="Helv"/>
    </font>
    <font>
      <sz val="10"/>
      <name val="Helv"/>
    </font>
    <font>
      <sz val="10"/>
      <name val="Arial"/>
      <family val="2"/>
    </font>
    <font>
      <sz val="8"/>
      <name val="Arial"/>
      <family val="2"/>
    </font>
    <font>
      <sz val="10"/>
      <color indexed="9"/>
      <name val="Arial"/>
      <family val="2"/>
    </font>
    <font>
      <b/>
      <sz val="10"/>
      <color indexed="12"/>
      <name val="Arial"/>
      <family val="2"/>
    </font>
    <font>
      <b/>
      <sz val="14"/>
      <name val="Arial"/>
      <family val="2"/>
    </font>
    <font>
      <sz val="12"/>
      <name val="Arial"/>
      <family val="2"/>
    </font>
    <font>
      <sz val="10"/>
      <color indexed="10"/>
      <name val="Helv"/>
    </font>
    <font>
      <sz val="8"/>
      <name val="Helv"/>
    </font>
    <font>
      <sz val="10"/>
      <color indexed="12"/>
      <name val="Arial"/>
      <family val="2"/>
    </font>
    <font>
      <sz val="10"/>
      <color indexed="12"/>
      <name val="Arial"/>
      <family val="2"/>
    </font>
    <font>
      <b/>
      <sz val="10"/>
      <color indexed="12"/>
      <name val="Times New Roman"/>
      <family val="1"/>
    </font>
    <font>
      <sz val="10"/>
      <color indexed="12"/>
      <name val="Helv"/>
    </font>
    <font>
      <b/>
      <sz val="10"/>
      <color indexed="12"/>
      <name val="Helv"/>
    </font>
    <font>
      <b/>
      <sz val="10"/>
      <color indexed="12"/>
      <name val="Arial"/>
      <family val="2"/>
    </font>
    <font>
      <sz val="10"/>
      <color indexed="8"/>
      <name val="Arial"/>
      <family val="2"/>
    </font>
    <font>
      <sz val="8"/>
      <color indexed="81"/>
      <name val="Tahoma"/>
      <family val="2"/>
    </font>
    <font>
      <b/>
      <sz val="8"/>
      <color indexed="81"/>
      <name val="Tahoma"/>
      <family val="2"/>
    </font>
    <font>
      <sz val="10"/>
      <name val="Arial"/>
      <family val="2"/>
    </font>
    <font>
      <b/>
      <sz val="8"/>
      <name val="Arial"/>
      <family val="2"/>
    </font>
    <font>
      <b/>
      <sz val="8"/>
      <name val="Helv"/>
    </font>
    <font>
      <b/>
      <sz val="12"/>
      <name val="Arial"/>
      <family val="2"/>
    </font>
    <font>
      <sz val="10"/>
      <color rgb="FF00B0F0"/>
      <name val="Arial"/>
      <family val="2"/>
    </font>
    <font>
      <b/>
      <sz val="10"/>
      <color rgb="FF00B0F0"/>
      <name val="Arial"/>
      <family val="2"/>
    </font>
  </fonts>
  <fills count="10">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8"/>
        <bgColor indexed="64"/>
      </patternFill>
    </fill>
    <fill>
      <patternFill patternType="solid">
        <fgColor indexed="13"/>
        <bgColor indexed="64"/>
      </patternFill>
    </fill>
    <fill>
      <patternFill patternType="solid">
        <fgColor indexed="42"/>
        <bgColor indexed="64"/>
      </patternFill>
    </fill>
    <fill>
      <patternFill patternType="solid">
        <fgColor indexed="22"/>
        <bgColor indexed="22"/>
      </patternFill>
    </fill>
    <fill>
      <patternFill patternType="gray0625"/>
    </fill>
    <fill>
      <patternFill patternType="solid">
        <fgColor indexed="10"/>
        <bgColor indexed="64"/>
      </patternFill>
    </fill>
  </fills>
  <borders count="3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15">
    <xf numFmtId="0" fontId="0" fillId="0" borderId="0" xfId="0"/>
    <xf numFmtId="0" fontId="0" fillId="0" borderId="0" xfId="0" applyBorder="1"/>
    <xf numFmtId="164" fontId="9" fillId="0" borderId="0" xfId="0" applyNumberFormat="1" applyFont="1" applyBorder="1" applyProtection="1"/>
    <xf numFmtId="0" fontId="1" fillId="0" borderId="0" xfId="0" applyFont="1" applyBorder="1"/>
    <xf numFmtId="0" fontId="6" fillId="0" borderId="0" xfId="0" applyFont="1" applyBorder="1" applyAlignment="1" applyProtection="1">
      <alignment horizontal="left"/>
    </xf>
    <xf numFmtId="0" fontId="4" fillId="0" borderId="0" xfId="0" applyFont="1" applyBorder="1" applyAlignment="1">
      <alignment horizontal="center"/>
    </xf>
    <xf numFmtId="1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0" xfId="0" applyFont="1" applyBorder="1"/>
    <xf numFmtId="14" fontId="4" fillId="0" borderId="0" xfId="0" applyNumberFormat="1" applyFont="1" applyBorder="1"/>
    <xf numFmtId="0" fontId="2" fillId="0" borderId="0" xfId="0" applyFont="1" applyBorder="1"/>
    <xf numFmtId="1" fontId="4" fillId="0" borderId="0" xfId="0" applyNumberFormat="1" applyFont="1" applyBorder="1" applyAlignment="1">
      <alignment horizontal="center"/>
    </xf>
    <xf numFmtId="0" fontId="3" fillId="0" borderId="0" xfId="0" applyFont="1" applyBorder="1" applyAlignment="1" applyProtection="1">
      <alignment horizontal="left"/>
    </xf>
    <xf numFmtId="0" fontId="5" fillId="0" borderId="0" xfId="0" applyFont="1" applyBorder="1" applyAlignment="1" applyProtection="1">
      <alignment horizontal="left"/>
    </xf>
    <xf numFmtId="164" fontId="5" fillId="0" borderId="0" xfId="0" applyNumberFormat="1" applyFont="1" applyBorder="1" applyAlignment="1" applyProtection="1">
      <alignment horizontal="left"/>
    </xf>
    <xf numFmtId="14" fontId="9" fillId="0" borderId="0" xfId="0" applyNumberFormat="1" applyFont="1" applyBorder="1" applyAlignment="1" applyProtection="1">
      <alignment horizontal="center"/>
    </xf>
    <xf numFmtId="0" fontId="9" fillId="0" borderId="0" xfId="0" applyFont="1" applyBorder="1" applyAlignment="1" applyProtection="1">
      <alignment horizontal="center"/>
    </xf>
    <xf numFmtId="0" fontId="9" fillId="0" borderId="0" xfId="0" applyFont="1" applyBorder="1" applyAlignment="1" applyProtection="1">
      <alignment horizontal="left"/>
    </xf>
    <xf numFmtId="0" fontId="9" fillId="0" borderId="0" xfId="0" applyFont="1" applyBorder="1"/>
    <xf numFmtId="0" fontId="4" fillId="0" borderId="0" xfId="0" applyFont="1" applyBorder="1" applyAlignment="1" applyProtection="1">
      <alignment horizontal="center"/>
    </xf>
    <xf numFmtId="0" fontId="2" fillId="0" borderId="0" xfId="0" applyFont="1" applyBorder="1" applyAlignment="1" applyProtection="1">
      <alignment horizontal="left"/>
    </xf>
    <xf numFmtId="164" fontId="4" fillId="0" borderId="0" xfId="0" applyNumberFormat="1" applyFont="1" applyBorder="1" applyProtection="1"/>
    <xf numFmtId="14" fontId="4" fillId="2" borderId="0" xfId="0" applyNumberFormat="1" applyFont="1" applyFill="1" applyBorder="1" applyAlignment="1">
      <alignment horizontal="center"/>
    </xf>
    <xf numFmtId="2" fontId="4" fillId="2" borderId="0" xfId="0" applyNumberFormat="1" applyFont="1" applyFill="1" applyBorder="1" applyAlignment="1">
      <alignment horizontal="center"/>
    </xf>
    <xf numFmtId="164" fontId="4" fillId="2" borderId="0" xfId="0" applyNumberFormat="1" applyFont="1" applyFill="1" applyBorder="1" applyProtection="1"/>
    <xf numFmtId="0" fontId="6" fillId="0" borderId="0" xfId="0" applyFont="1" applyBorder="1"/>
    <xf numFmtId="1" fontId="6" fillId="0" borderId="0" xfId="0" applyNumberFormat="1" applyFont="1" applyBorder="1" applyProtection="1"/>
    <xf numFmtId="164" fontId="6" fillId="0" borderId="0" xfId="0" applyNumberFormat="1" applyFont="1" applyBorder="1" applyProtection="1"/>
    <xf numFmtId="164" fontId="6" fillId="2" borderId="0" xfId="0" applyNumberFormat="1" applyFont="1" applyFill="1" applyBorder="1" applyProtection="1"/>
    <xf numFmtId="0" fontId="6" fillId="0" borderId="0" xfId="0" applyFont="1" applyBorder="1" applyProtection="1"/>
    <xf numFmtId="14" fontId="4" fillId="0" borderId="0" xfId="0" applyNumberFormat="1" applyFont="1" applyBorder="1" applyProtection="1"/>
    <xf numFmtId="14" fontId="4" fillId="2" borderId="0" xfId="0" applyNumberFormat="1" applyFont="1" applyFill="1" applyBorder="1" applyProtection="1"/>
    <xf numFmtId="0" fontId="10" fillId="0" borderId="0" xfId="0" applyFont="1" applyBorder="1" applyAlignment="1" applyProtection="1">
      <alignment horizontal="center"/>
    </xf>
    <xf numFmtId="2" fontId="10" fillId="0" borderId="0" xfId="0" applyNumberFormat="1" applyFont="1" applyBorder="1" applyAlignment="1">
      <alignment horizontal="center"/>
    </xf>
    <xf numFmtId="0" fontId="10" fillId="0" borderId="0" xfId="0" applyFont="1" applyBorder="1"/>
    <xf numFmtId="43" fontId="10" fillId="0" borderId="0" xfId="1" applyFont="1" applyBorder="1"/>
    <xf numFmtId="0" fontId="10" fillId="0" borderId="0" xfId="0" applyFont="1" applyBorder="1" applyAlignment="1">
      <alignment horizontal="center"/>
    </xf>
    <xf numFmtId="1" fontId="0" fillId="0" borderId="0" xfId="0" applyNumberFormat="1"/>
    <xf numFmtId="1" fontId="8" fillId="0" borderId="0" xfId="1" applyNumberFormat="1" applyFont="1"/>
    <xf numFmtId="43" fontId="4" fillId="0" borderId="0" xfId="1" applyFont="1" applyBorder="1" applyAlignment="1">
      <alignment horizontal="center"/>
    </xf>
    <xf numFmtId="43" fontId="1" fillId="0" borderId="0" xfId="1" applyFont="1" applyBorder="1"/>
    <xf numFmtId="43" fontId="4" fillId="0" borderId="0" xfId="1" applyFont="1" applyBorder="1"/>
    <xf numFmtId="43" fontId="6" fillId="0" borderId="0" xfId="1" applyFont="1" applyBorder="1"/>
    <xf numFmtId="1" fontId="12" fillId="0" borderId="0" xfId="1" applyNumberFormat="1" applyFont="1"/>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13" fillId="0" borderId="0" xfId="0" applyFont="1" applyBorder="1"/>
    <xf numFmtId="0" fontId="0" fillId="0" borderId="0" xfId="0" quotePrefix="1"/>
    <xf numFmtId="1" fontId="0" fillId="0" borderId="0" xfId="0" applyNumberFormat="1" applyBorder="1"/>
    <xf numFmtId="1" fontId="0" fillId="0" borderId="2" xfId="0" applyNumberFormat="1" applyBorder="1"/>
    <xf numFmtId="1" fontId="0" fillId="0" borderId="1" xfId="0" applyNumberFormat="1" applyBorder="1"/>
    <xf numFmtId="1" fontId="0" fillId="0" borderId="3" xfId="0" applyNumberFormat="1" applyBorder="1"/>
    <xf numFmtId="1" fontId="0" fillId="0" borderId="4" xfId="0" applyNumberFormat="1" applyBorder="1"/>
    <xf numFmtId="1" fontId="0" fillId="0" borderId="5" xfId="0" applyNumberFormat="1" applyBorder="1"/>
    <xf numFmtId="0" fontId="0" fillId="3" borderId="0" xfId="0" applyFill="1"/>
    <xf numFmtId="0" fontId="0" fillId="3" borderId="1" xfId="0" applyFill="1" applyBorder="1" applyAlignment="1">
      <alignment horizontal="right"/>
    </xf>
    <xf numFmtId="0" fontId="0" fillId="3" borderId="0" xfId="0" applyFill="1" applyBorder="1" applyAlignment="1">
      <alignment horizontal="right"/>
    </xf>
    <xf numFmtId="1" fontId="8" fillId="3" borderId="0" xfId="1" applyNumberFormat="1" applyFont="1" applyFill="1"/>
    <xf numFmtId="0" fontId="0" fillId="0" borderId="0" xfId="0" applyFill="1"/>
    <xf numFmtId="1" fontId="0" fillId="0" borderId="1" xfId="0" applyNumberFormat="1" applyFill="1" applyBorder="1"/>
    <xf numFmtId="1" fontId="0" fillId="0" borderId="0" xfId="0" applyNumberFormat="1" applyFill="1" applyBorder="1"/>
    <xf numFmtId="1" fontId="0" fillId="0" borderId="2" xfId="0" applyNumberFormat="1" applyFill="1" applyBorder="1"/>
    <xf numFmtId="1" fontId="8" fillId="0" borderId="0" xfId="1" applyNumberFormat="1" applyFont="1" applyFill="1"/>
    <xf numFmtId="0" fontId="0" fillId="0" borderId="0" xfId="0" applyBorder="1" applyAlignment="1">
      <alignment horizontal="center"/>
    </xf>
    <xf numFmtId="0" fontId="0" fillId="0" borderId="0" xfId="0" quotePrefix="1" applyAlignment="1">
      <alignment horizontal="right"/>
    </xf>
    <xf numFmtId="1" fontId="0" fillId="0" borderId="0" xfId="0" quotePrefix="1" applyNumberFormat="1"/>
    <xf numFmtId="0" fontId="11" fillId="0" borderId="0" xfId="0" applyFont="1" applyBorder="1" applyAlignment="1">
      <alignment horizontal="center"/>
    </xf>
    <xf numFmtId="1" fontId="1" fillId="0" borderId="0" xfId="1" applyNumberFormat="1"/>
    <xf numFmtId="0" fontId="1" fillId="0" borderId="0" xfId="0" applyFont="1" applyBorder="1" applyAlignment="1">
      <alignment horizontal="right"/>
    </xf>
    <xf numFmtId="166" fontId="0" fillId="0" borderId="0" xfId="0" applyNumberFormat="1" applyAlignment="1" applyProtection="1">
      <alignment horizontal="left"/>
    </xf>
    <xf numFmtId="37" fontId="14" fillId="0" borderId="0" xfId="0" applyNumberFormat="1" applyFont="1" applyProtection="1"/>
    <xf numFmtId="10" fontId="14" fillId="0" borderId="0" xfId="0" applyNumberFormat="1" applyFont="1" applyProtection="1"/>
    <xf numFmtId="166" fontId="0" fillId="0" borderId="0" xfId="0" applyNumberFormat="1" applyProtection="1"/>
    <xf numFmtId="167" fontId="0" fillId="0" borderId="0" xfId="2" applyNumberFormat="1" applyFont="1"/>
    <xf numFmtId="1" fontId="0" fillId="0" borderId="6" xfId="0" applyNumberFormat="1" applyBorder="1"/>
    <xf numFmtId="167" fontId="0" fillId="0" borderId="7" xfId="2" applyNumberFormat="1" applyFont="1" applyBorder="1"/>
    <xf numFmtId="0" fontId="14" fillId="4" borderId="0" xfId="0" applyFont="1" applyFill="1"/>
    <xf numFmtId="0" fontId="0" fillId="0" borderId="7" xfId="0" quotePrefix="1" applyBorder="1" applyAlignment="1">
      <alignment horizontal="center"/>
    </xf>
    <xf numFmtId="0" fontId="0" fillId="0" borderId="0" xfId="0" applyBorder="1" applyAlignment="1">
      <alignment horizontal="right"/>
    </xf>
    <xf numFmtId="0" fontId="0" fillId="0" borderId="0" xfId="0" quotePrefix="1" applyBorder="1" applyAlignment="1">
      <alignment horizontal="right"/>
    </xf>
    <xf numFmtId="39" fontId="0" fillId="0" borderId="0" xfId="0" applyNumberFormat="1" applyProtection="1"/>
    <xf numFmtId="167" fontId="6" fillId="0" borderId="0" xfId="2" applyNumberFormat="1" applyFont="1" applyBorder="1" applyAlignment="1" applyProtection="1">
      <alignment horizontal="left"/>
    </xf>
    <xf numFmtId="167" fontId="6" fillId="0" borderId="0" xfId="2" applyNumberFormat="1" applyFont="1" applyBorder="1" applyAlignment="1" applyProtection="1">
      <alignment horizontal="right"/>
    </xf>
    <xf numFmtId="167" fontId="4" fillId="0" borderId="0" xfId="2" applyNumberFormat="1" applyFont="1" applyBorder="1"/>
    <xf numFmtId="167" fontId="4" fillId="0" borderId="0" xfId="2" applyNumberFormat="1" applyFont="1" applyBorder="1" applyAlignment="1">
      <alignment horizontal="center"/>
    </xf>
    <xf numFmtId="167" fontId="6" fillId="0" borderId="0" xfId="2" applyNumberFormat="1" applyFont="1" applyBorder="1"/>
    <xf numFmtId="167" fontId="4" fillId="0" borderId="0" xfId="2" applyNumberFormat="1" applyFont="1" applyBorder="1" applyAlignment="1" applyProtection="1">
      <alignment horizontal="center"/>
    </xf>
    <xf numFmtId="167" fontId="4" fillId="0" borderId="0" xfId="2" applyNumberFormat="1" applyFont="1" applyBorder="1" applyProtection="1"/>
    <xf numFmtId="167" fontId="4" fillId="0" borderId="0" xfId="2" applyNumberFormat="1" applyFont="1" applyBorder="1" applyAlignment="1" applyProtection="1">
      <alignment horizontal="left"/>
    </xf>
    <xf numFmtId="8" fontId="0" fillId="0" borderId="0" xfId="0" applyNumberFormat="1"/>
    <xf numFmtId="169" fontId="4" fillId="0" borderId="0" xfId="1" applyNumberFormat="1" applyFont="1" applyFill="1" applyBorder="1" applyAlignment="1">
      <alignment horizontal="center"/>
    </xf>
    <xf numFmtId="0" fontId="4" fillId="0" borderId="0" xfId="0" applyFont="1" applyFill="1" applyBorder="1"/>
    <xf numFmtId="14" fontId="4" fillId="0" borderId="0" xfId="0" applyNumberFormat="1" applyFont="1" applyFill="1" applyBorder="1" applyAlignment="1">
      <alignment horizontal="center"/>
    </xf>
    <xf numFmtId="0" fontId="6" fillId="0" borderId="0" xfId="0" applyFont="1" applyFill="1" applyBorder="1" applyAlignment="1" applyProtection="1">
      <alignment horizontal="left"/>
    </xf>
    <xf numFmtId="164" fontId="6" fillId="0" borderId="0" xfId="0" applyNumberFormat="1" applyFont="1" applyFill="1" applyBorder="1" applyProtection="1"/>
    <xf numFmtId="0" fontId="6" fillId="0" borderId="0" xfId="0" applyFont="1" applyFill="1" applyBorder="1"/>
    <xf numFmtId="164" fontId="4" fillId="0" borderId="0" xfId="0" applyNumberFormat="1" applyFont="1" applyFill="1" applyBorder="1" applyProtection="1"/>
    <xf numFmtId="14" fontId="4" fillId="0" borderId="0" xfId="0" applyNumberFormat="1" applyFont="1" applyFill="1" applyBorder="1" applyProtection="1"/>
    <xf numFmtId="167" fontId="10" fillId="0" borderId="0" xfId="2" applyNumberFormat="1" applyFont="1" applyBorder="1"/>
    <xf numFmtId="167" fontId="1" fillId="0" borderId="0" xfId="2" applyNumberFormat="1" applyFont="1" applyBorder="1" applyAlignment="1">
      <alignment horizontal="right"/>
    </xf>
    <xf numFmtId="0" fontId="17" fillId="0" borderId="0" xfId="0" applyFont="1" applyBorder="1" applyAlignment="1" applyProtection="1">
      <alignment horizontal="left"/>
    </xf>
    <xf numFmtId="164" fontId="19" fillId="0" borderId="0" xfId="0" applyNumberFormat="1" applyFont="1" applyBorder="1" applyAlignment="1" applyProtection="1">
      <alignment horizontal="left"/>
    </xf>
    <xf numFmtId="0" fontId="10" fillId="0" borderId="0" xfId="0" applyFont="1" applyBorder="1" applyAlignment="1" applyProtection="1">
      <alignment horizontal="left"/>
    </xf>
    <xf numFmtId="0" fontId="20" fillId="0" borderId="0" xfId="0" applyFont="1" applyBorder="1"/>
    <xf numFmtId="0" fontId="20" fillId="0" borderId="0" xfId="0" applyFont="1" applyBorder="1" applyAlignment="1" applyProtection="1">
      <alignment horizontal="center"/>
    </xf>
    <xf numFmtId="0" fontId="20" fillId="0" borderId="0" xfId="0" applyFont="1" applyBorder="1" applyAlignment="1">
      <alignment horizontal="center"/>
    </xf>
    <xf numFmtId="0" fontId="19" fillId="0" borderId="0" xfId="0" applyFont="1" applyBorder="1" applyAlignment="1" applyProtection="1">
      <alignment horizontal="left"/>
    </xf>
    <xf numFmtId="14" fontId="20" fillId="0" borderId="0" xfId="0" applyNumberFormat="1" applyFont="1" applyBorder="1"/>
    <xf numFmtId="0" fontId="19" fillId="0" borderId="0" xfId="0" applyFont="1" applyBorder="1"/>
    <xf numFmtId="164" fontId="10" fillId="0" borderId="0" xfId="0" applyNumberFormat="1" applyFont="1" applyBorder="1" applyAlignment="1" applyProtection="1">
      <alignment horizontal="center"/>
    </xf>
    <xf numFmtId="0" fontId="20" fillId="0" borderId="0" xfId="0" applyFont="1" applyBorder="1" applyAlignment="1" applyProtection="1">
      <alignment horizontal="left"/>
    </xf>
    <xf numFmtId="164" fontId="19" fillId="0" borderId="0" xfId="0" applyNumberFormat="1" applyFont="1" applyBorder="1" applyProtection="1"/>
    <xf numFmtId="0" fontId="20" fillId="0" borderId="0" xfId="0" applyFont="1" applyBorder="1" applyAlignment="1">
      <alignment horizontal="right"/>
    </xf>
    <xf numFmtId="14" fontId="10" fillId="0" borderId="0" xfId="0" applyNumberFormat="1" applyFont="1" applyBorder="1" applyAlignment="1">
      <alignment horizontal="right"/>
    </xf>
    <xf numFmtId="14" fontId="10" fillId="0" borderId="0" xfId="0" applyNumberFormat="1" applyFont="1" applyBorder="1"/>
    <xf numFmtId="14" fontId="10" fillId="0" borderId="0" xfId="0" applyNumberFormat="1" applyFont="1" applyBorder="1" applyAlignment="1">
      <alignment horizontal="center"/>
    </xf>
    <xf numFmtId="14" fontId="20" fillId="0" borderId="0" xfId="0" applyNumberFormat="1" applyFont="1" applyBorder="1" applyAlignment="1">
      <alignment horizontal="center"/>
    </xf>
    <xf numFmtId="14" fontId="20" fillId="0" borderId="0" xfId="0" applyNumberFormat="1" applyFont="1" applyBorder="1" applyAlignment="1" applyProtection="1">
      <alignment horizontal="center"/>
    </xf>
    <xf numFmtId="164" fontId="20" fillId="0" borderId="0" xfId="0" applyNumberFormat="1" applyFont="1" applyBorder="1" applyProtection="1"/>
    <xf numFmtId="164" fontId="10" fillId="0" borderId="0" xfId="0" applyNumberFormat="1" applyFont="1" applyBorder="1" applyProtection="1"/>
    <xf numFmtId="167" fontId="4" fillId="0" borderId="0" xfId="2" applyNumberFormat="1" applyFont="1" applyFill="1" applyBorder="1" applyAlignment="1">
      <alignment horizontal="center"/>
    </xf>
    <xf numFmtId="167" fontId="10" fillId="0" borderId="0" xfId="2" applyNumberFormat="1" applyFont="1" applyFill="1" applyBorder="1"/>
    <xf numFmtId="167" fontId="16" fillId="0" borderId="0" xfId="2" applyNumberFormat="1" applyFont="1" applyFill="1" applyBorder="1" applyAlignment="1">
      <alignment horizontal="right"/>
    </xf>
    <xf numFmtId="167" fontId="18" fillId="0" borderId="0" xfId="2" applyNumberFormat="1" applyFont="1" applyFill="1" applyBorder="1" applyAlignment="1" applyProtection="1">
      <alignment horizontal="right"/>
    </xf>
    <xf numFmtId="167" fontId="15" fillId="0" borderId="0" xfId="2" applyNumberFormat="1" applyFont="1" applyFill="1" applyBorder="1" applyAlignment="1">
      <alignment horizontal="center"/>
    </xf>
    <xf numFmtId="167" fontId="15" fillId="0" borderId="0" xfId="2" applyNumberFormat="1" applyFont="1" applyFill="1" applyBorder="1"/>
    <xf numFmtId="167" fontId="16" fillId="0" borderId="0" xfId="2" applyNumberFormat="1" applyFont="1" applyFill="1" applyBorder="1"/>
    <xf numFmtId="167" fontId="18" fillId="0" borderId="0" xfId="2" applyNumberFormat="1" applyFont="1" applyFill="1" applyBorder="1" applyAlignment="1" applyProtection="1">
      <alignment horizontal="left"/>
    </xf>
    <xf numFmtId="167" fontId="16" fillId="0" borderId="0" xfId="2" applyNumberFormat="1" applyFont="1" applyFill="1" applyBorder="1" applyAlignment="1">
      <alignment horizontal="center"/>
    </xf>
    <xf numFmtId="167" fontId="18" fillId="0" borderId="0" xfId="2" applyNumberFormat="1" applyFont="1" applyFill="1" applyBorder="1" applyProtection="1"/>
    <xf numFmtId="167" fontId="18" fillId="0" borderId="0" xfId="2" applyNumberFormat="1" applyFont="1" applyFill="1" applyBorder="1"/>
    <xf numFmtId="167" fontId="16" fillId="0" borderId="0" xfId="2" applyNumberFormat="1" applyFont="1" applyFill="1" applyBorder="1" applyAlignment="1" applyProtection="1">
      <alignment horizontal="center"/>
    </xf>
    <xf numFmtId="167" fontId="15" fillId="0" borderId="0" xfId="2" applyNumberFormat="1" applyFont="1" applyFill="1" applyBorder="1" applyAlignment="1" applyProtection="1">
      <alignment horizontal="center"/>
    </xf>
    <xf numFmtId="167" fontId="15" fillId="0" borderId="0" xfId="2" applyNumberFormat="1" applyFont="1" applyFill="1" applyBorder="1" applyProtection="1"/>
    <xf numFmtId="167" fontId="15" fillId="0" borderId="0" xfId="2" applyNumberFormat="1" applyFont="1" applyFill="1" applyBorder="1" applyAlignment="1" applyProtection="1">
      <alignment horizontal="left"/>
    </xf>
    <xf numFmtId="167" fontId="16" fillId="0" borderId="0" xfId="2" applyNumberFormat="1" applyFont="1" applyFill="1" applyBorder="1" applyProtection="1"/>
    <xf numFmtId="167" fontId="16" fillId="0" borderId="0" xfId="2" applyNumberFormat="1" applyFont="1" applyFill="1" applyBorder="1" applyAlignment="1" applyProtection="1">
      <alignment horizontal="right"/>
    </xf>
    <xf numFmtId="167" fontId="4" fillId="0" borderId="8" xfId="2" applyNumberFormat="1" applyFont="1" applyBorder="1" applyAlignment="1">
      <alignment horizontal="center"/>
    </xf>
    <xf numFmtId="167" fontId="4" fillId="0" borderId="9" xfId="2" applyNumberFormat="1" applyFont="1" applyBorder="1" applyAlignment="1">
      <alignment horizontal="center"/>
    </xf>
    <xf numFmtId="167" fontId="4" fillId="0" borderId="9" xfId="2" applyNumberFormat="1" applyFont="1" applyBorder="1" applyProtection="1"/>
    <xf numFmtId="167" fontId="4" fillId="0" borderId="9" xfId="2" applyNumberFormat="1" applyFont="1" applyBorder="1" applyAlignment="1" applyProtection="1">
      <alignment horizontal="center"/>
    </xf>
    <xf numFmtId="167" fontId="4" fillId="0" borderId="9" xfId="2" applyNumberFormat="1" applyFont="1" applyBorder="1" applyAlignment="1" applyProtection="1">
      <alignment horizontal="left"/>
    </xf>
    <xf numFmtId="167" fontId="4" fillId="0" borderId="9" xfId="2" applyNumberFormat="1" applyFont="1" applyBorder="1"/>
    <xf numFmtId="0" fontId="15" fillId="0" borderId="0" xfId="0" applyFont="1"/>
    <xf numFmtId="14" fontId="15" fillId="0" borderId="0" xfId="0" applyNumberFormat="1" applyFont="1"/>
    <xf numFmtId="0" fontId="15" fillId="0" borderId="0" xfId="0" applyFont="1" applyAlignment="1">
      <alignment horizontal="right"/>
    </xf>
    <xf numFmtId="37" fontId="0" fillId="0" borderId="0" xfId="0" applyNumberFormat="1" applyAlignment="1">
      <alignment horizontal="right"/>
    </xf>
    <xf numFmtId="37" fontId="0" fillId="0" borderId="0" xfId="0" applyNumberFormat="1" applyProtection="1"/>
    <xf numFmtId="37" fontId="0" fillId="0" borderId="0" xfId="0" applyNumberFormat="1"/>
    <xf numFmtId="37" fontId="0" fillId="0" borderId="11" xfId="0" applyNumberFormat="1" applyBorder="1"/>
    <xf numFmtId="0" fontId="2" fillId="2" borderId="12" xfId="0" applyFont="1" applyFill="1" applyBorder="1" applyAlignment="1">
      <alignment horizontal="right"/>
    </xf>
    <xf numFmtId="0" fontId="2" fillId="2" borderId="13" xfId="0" applyFont="1" applyFill="1" applyBorder="1" applyAlignment="1">
      <alignment horizontal="right"/>
    </xf>
    <xf numFmtId="0" fontId="2" fillId="2" borderId="14" xfId="0" applyFont="1" applyFill="1" applyBorder="1" applyAlignment="1">
      <alignment horizontal="right"/>
    </xf>
    <xf numFmtId="10" fontId="14" fillId="0" borderId="0" xfId="0" applyNumberFormat="1" applyFont="1" applyAlignment="1" applyProtection="1">
      <alignment horizontal="right"/>
    </xf>
    <xf numFmtId="166" fontId="2" fillId="0" borderId="0" xfId="0" applyNumberFormat="1" applyFont="1" applyAlignment="1" applyProtection="1">
      <alignment horizontal="left"/>
    </xf>
    <xf numFmtId="165" fontId="0" fillId="0" borderId="0" xfId="1" applyNumberFormat="1" applyFont="1"/>
    <xf numFmtId="165" fontId="0" fillId="0" borderId="0" xfId="1" quotePrefix="1" applyNumberFormat="1" applyFont="1"/>
    <xf numFmtId="167" fontId="0" fillId="0" borderId="11" xfId="2" applyNumberFormat="1" applyFont="1" applyBorder="1"/>
    <xf numFmtId="1" fontId="0" fillId="0" borderId="11" xfId="0" applyNumberFormat="1" applyBorder="1"/>
    <xf numFmtId="0" fontId="2" fillId="2" borderId="15" xfId="0" applyFont="1" applyFill="1" applyBorder="1" applyAlignment="1">
      <alignment horizontal="right"/>
    </xf>
    <xf numFmtId="0" fontId="2" fillId="2" borderId="16" xfId="0" applyFont="1" applyFill="1" applyBorder="1" applyAlignment="1">
      <alignment horizontal="right"/>
    </xf>
    <xf numFmtId="0" fontId="0" fillId="0" borderId="0" xfId="0" quotePrefix="1" applyFill="1"/>
    <xf numFmtId="0" fontId="0" fillId="0" borderId="17" xfId="0" applyFill="1" applyBorder="1" applyAlignment="1">
      <alignment horizontal="right"/>
    </xf>
    <xf numFmtId="0" fontId="0" fillId="0" borderId="0" xfId="0" applyFill="1" applyBorder="1" applyAlignment="1">
      <alignment horizontal="right"/>
    </xf>
    <xf numFmtId="0" fontId="0" fillId="0" borderId="17" xfId="0" applyFill="1" applyBorder="1"/>
    <xf numFmtId="0" fontId="0" fillId="0" borderId="18" xfId="0" applyFill="1" applyBorder="1" applyAlignment="1">
      <alignment horizontal="right"/>
    </xf>
    <xf numFmtId="0" fontId="0" fillId="0" borderId="19" xfId="0" applyFill="1" applyBorder="1" applyAlignment="1">
      <alignment horizontal="right"/>
    </xf>
    <xf numFmtId="0" fontId="0" fillId="0" borderId="22" xfId="0" applyFill="1" applyBorder="1" applyAlignment="1">
      <alignment horizontal="right"/>
    </xf>
    <xf numFmtId="0" fontId="0" fillId="0" borderId="20" xfId="0" applyFill="1" applyBorder="1" applyAlignment="1">
      <alignment horizontal="right"/>
    </xf>
    <xf numFmtId="16" fontId="0" fillId="0" borderId="17" xfId="0" quotePrefix="1" applyNumberFormat="1" applyFill="1" applyBorder="1" applyAlignment="1">
      <alignment horizontal="right"/>
    </xf>
    <xf numFmtId="0" fontId="0" fillId="0" borderId="17" xfId="0" quotePrefix="1" applyFill="1" applyBorder="1" applyAlignment="1">
      <alignment horizontal="right"/>
    </xf>
    <xf numFmtId="0" fontId="2" fillId="2" borderId="20" xfId="0" applyFont="1" applyFill="1" applyBorder="1" applyAlignment="1">
      <alignment horizontal="right"/>
    </xf>
    <xf numFmtId="0" fontId="2" fillId="2" borderId="20" xfId="0" applyFont="1" applyFill="1" applyBorder="1"/>
    <xf numFmtId="0" fontId="2" fillId="2" borderId="0" xfId="0" applyFont="1" applyFill="1" applyBorder="1" applyAlignment="1">
      <alignment horizontal="right"/>
    </xf>
    <xf numFmtId="0" fontId="2" fillId="2" borderId="0" xfId="0" applyFont="1" applyFill="1" applyBorder="1"/>
    <xf numFmtId="0" fontId="2" fillId="2" borderId="2" xfId="0" applyFont="1" applyFill="1" applyBorder="1"/>
    <xf numFmtId="0" fontId="2" fillId="2" borderId="4" xfId="0" quotePrefix="1" applyFont="1" applyFill="1" applyBorder="1" applyAlignment="1">
      <alignment horizontal="right"/>
    </xf>
    <xf numFmtId="0" fontId="2" fillId="2" borderId="5" xfId="0" quotePrefix="1" applyFont="1" applyFill="1" applyBorder="1" applyAlignment="1">
      <alignment horizontal="right"/>
    </xf>
    <xf numFmtId="165" fontId="0" fillId="0" borderId="0" xfId="0" applyNumberFormat="1"/>
    <xf numFmtId="0" fontId="1" fillId="0" borderId="0" xfId="0" applyFont="1" applyFill="1" applyBorder="1"/>
    <xf numFmtId="167" fontId="1" fillId="0" borderId="0" xfId="2" applyNumberFormat="1" applyFont="1" applyBorder="1"/>
    <xf numFmtId="0" fontId="1" fillId="0" borderId="0" xfId="0" applyFont="1" applyFill="1" applyBorder="1" applyAlignment="1">
      <alignment horizontal="right"/>
    </xf>
    <xf numFmtId="0" fontId="1" fillId="0" borderId="0" xfId="0" applyFont="1" applyBorder="1" applyAlignment="1" applyProtection="1">
      <alignment horizontal="right"/>
    </xf>
    <xf numFmtId="43" fontId="1" fillId="0" borderId="0" xfId="1" applyFont="1" applyBorder="1" applyAlignment="1">
      <alignment horizontal="right"/>
    </xf>
    <xf numFmtId="0" fontId="1" fillId="0" borderId="0" xfId="0" applyFont="1" applyBorder="1" applyAlignment="1">
      <alignment horizontal="center"/>
    </xf>
    <xf numFmtId="0" fontId="1" fillId="0" borderId="0" xfId="0" applyFont="1" applyFill="1" applyBorder="1" applyAlignment="1">
      <alignment horizontal="center"/>
    </xf>
    <xf numFmtId="0" fontId="1" fillId="2" borderId="0" xfId="0" applyFont="1" applyFill="1" applyBorder="1" applyAlignment="1">
      <alignment horizontal="right"/>
    </xf>
    <xf numFmtId="43" fontId="1" fillId="2" borderId="0" xfId="1" applyFont="1" applyFill="1" applyBorder="1" applyAlignment="1">
      <alignment horizontal="right"/>
    </xf>
    <xf numFmtId="1" fontId="1" fillId="0" borderId="0" xfId="0" applyNumberFormat="1" applyFont="1" applyBorder="1"/>
    <xf numFmtId="0" fontId="1" fillId="0" borderId="0" xfId="0" applyFont="1" applyBorder="1" applyAlignment="1">
      <alignment horizontal="left"/>
    </xf>
    <xf numFmtId="43" fontId="1" fillId="0" borderId="0" xfId="1" applyBorder="1"/>
    <xf numFmtId="43" fontId="1" fillId="0" borderId="0" xfId="1" applyFont="1" applyBorder="1" applyAlignment="1">
      <alignment horizontal="center"/>
    </xf>
    <xf numFmtId="14" fontId="1" fillId="0" borderId="0" xfId="0" applyNumberFormat="1" applyFont="1" applyBorder="1"/>
    <xf numFmtId="167" fontId="1" fillId="0" borderId="8" xfId="2" applyNumberFormat="1" applyFont="1" applyBorder="1"/>
    <xf numFmtId="167" fontId="1" fillId="0" borderId="9" xfId="2" applyNumberFormat="1" applyFont="1" applyBorder="1"/>
    <xf numFmtId="167" fontId="1" fillId="0" borderId="10" xfId="2" applyNumberFormat="1" applyFont="1" applyBorder="1"/>
    <xf numFmtId="14" fontId="1" fillId="0" borderId="0" xfId="0" applyNumberFormat="1" applyFont="1" applyBorder="1" applyAlignment="1">
      <alignment horizontal="center"/>
    </xf>
    <xf numFmtId="14" fontId="1" fillId="0" borderId="0" xfId="0" applyNumberFormat="1" applyFont="1" applyFill="1" applyBorder="1" applyAlignment="1">
      <alignment horizontal="center"/>
    </xf>
    <xf numFmtId="167" fontId="1" fillId="0" borderId="0" xfId="2" applyNumberFormat="1" applyFont="1" applyBorder="1" applyAlignment="1">
      <alignment horizontal="center"/>
    </xf>
    <xf numFmtId="1" fontId="1" fillId="0" borderId="0" xfId="0" applyNumberFormat="1" applyFont="1" applyBorder="1" applyAlignment="1">
      <alignment horizontal="center"/>
    </xf>
    <xf numFmtId="4" fontId="1" fillId="0" borderId="0" xfId="0" applyNumberFormat="1" applyFont="1" applyBorder="1"/>
    <xf numFmtId="14" fontId="1" fillId="2" borderId="0" xfId="0" applyNumberFormat="1" applyFont="1" applyFill="1" applyBorder="1"/>
    <xf numFmtId="14" fontId="1" fillId="0" borderId="0" xfId="0" applyNumberFormat="1" applyFont="1" applyFill="1" applyBorder="1"/>
    <xf numFmtId="0" fontId="1" fillId="0" borderId="0" xfId="0" applyFont="1" applyBorder="1" applyAlignment="1" applyProtection="1">
      <alignment horizontal="left"/>
    </xf>
    <xf numFmtId="0" fontId="1" fillId="0" borderId="0" xfId="0" applyFont="1" applyBorder="1" applyAlignment="1" applyProtection="1">
      <alignment horizontal="center"/>
    </xf>
    <xf numFmtId="0" fontId="1" fillId="0" borderId="0" xfId="0" applyFont="1" applyFill="1" applyBorder="1" applyAlignment="1" applyProtection="1">
      <alignment horizontal="center"/>
    </xf>
    <xf numFmtId="167" fontId="1" fillId="0" borderId="0" xfId="2" applyNumberFormat="1" applyFont="1" applyBorder="1" applyAlignment="1" applyProtection="1">
      <alignment horizontal="center"/>
    </xf>
    <xf numFmtId="14" fontId="1" fillId="2" borderId="0" xfId="0" applyNumberFormat="1" applyFont="1" applyFill="1" applyBorder="1" applyAlignment="1">
      <alignment horizontal="center"/>
    </xf>
    <xf numFmtId="14" fontId="1" fillId="0" borderId="0" xfId="0" applyNumberFormat="1" applyFont="1" applyBorder="1" applyAlignment="1" applyProtection="1">
      <alignment horizontal="center"/>
    </xf>
    <xf numFmtId="44" fontId="1" fillId="0" borderId="0" xfId="2" applyFont="1" applyBorder="1" applyAlignment="1" applyProtection="1">
      <alignment horizontal="left"/>
    </xf>
    <xf numFmtId="14" fontId="1" fillId="2" borderId="0" xfId="0" applyNumberFormat="1" applyFont="1" applyFill="1" applyBorder="1" applyAlignment="1" applyProtection="1">
      <alignment horizontal="center"/>
    </xf>
    <xf numFmtId="14" fontId="1" fillId="0" borderId="0" xfId="0" applyNumberFormat="1" applyFont="1" applyFill="1" applyBorder="1" applyAlignment="1" applyProtection="1">
      <alignment horizontal="center"/>
    </xf>
    <xf numFmtId="7" fontId="1" fillId="0" borderId="0" xfId="0" applyNumberFormat="1" applyFont="1" applyBorder="1" applyProtection="1"/>
    <xf numFmtId="164" fontId="1" fillId="0" borderId="0" xfId="0" applyNumberFormat="1" applyFont="1" applyBorder="1" applyProtection="1"/>
    <xf numFmtId="164" fontId="1" fillId="2" borderId="0" xfId="0" applyNumberFormat="1" applyFont="1" applyFill="1" applyBorder="1" applyProtection="1"/>
    <xf numFmtId="164" fontId="1" fillId="0" borderId="0" xfId="0" applyNumberFormat="1" applyFont="1" applyFill="1" applyBorder="1" applyProtection="1"/>
    <xf numFmtId="0" fontId="1" fillId="0" borderId="0" xfId="0" applyFont="1" applyBorder="1" applyProtection="1"/>
    <xf numFmtId="0" fontId="1" fillId="0" borderId="0" xfId="0" applyFont="1" applyFill="1" applyBorder="1" applyAlignment="1" applyProtection="1">
      <alignment horizontal="right"/>
    </xf>
    <xf numFmtId="167" fontId="1" fillId="0" borderId="0" xfId="2" applyNumberFormat="1" applyFont="1" applyBorder="1" applyAlignment="1" applyProtection="1">
      <alignment horizontal="right"/>
    </xf>
    <xf numFmtId="167" fontId="1" fillId="0" borderId="9" xfId="2" applyNumberFormat="1" applyFont="1" applyBorder="1" applyAlignment="1" applyProtection="1">
      <alignment horizontal="right"/>
    </xf>
    <xf numFmtId="14" fontId="1" fillId="0" borderId="0" xfId="0" applyNumberFormat="1" applyFont="1" applyBorder="1" applyAlignment="1">
      <alignment horizontal="right"/>
    </xf>
    <xf numFmtId="14" fontId="1" fillId="0" borderId="0" xfId="0" applyNumberFormat="1" applyFont="1" applyFill="1" applyBorder="1" applyAlignment="1">
      <alignment horizontal="right"/>
    </xf>
    <xf numFmtId="14" fontId="1" fillId="0" borderId="0" xfId="0" applyNumberFormat="1" applyFont="1" applyBorder="1" applyAlignment="1" applyProtection="1">
      <alignment horizontal="right"/>
    </xf>
    <xf numFmtId="14" fontId="1" fillId="0" borderId="0" xfId="0" applyNumberFormat="1" applyFont="1" applyFill="1" applyBorder="1" applyAlignment="1" applyProtection="1">
      <alignment horizontal="right"/>
    </xf>
    <xf numFmtId="0" fontId="1" fillId="0" borderId="20" xfId="0" applyFont="1" applyFill="1" applyBorder="1" applyAlignment="1">
      <alignment horizontal="center"/>
    </xf>
    <xf numFmtId="0" fontId="1" fillId="0" borderId="21" xfId="0" applyFont="1" applyFill="1" applyBorder="1" applyAlignment="1">
      <alignment horizontal="center"/>
    </xf>
    <xf numFmtId="0" fontId="1" fillId="0" borderId="17" xfId="0" applyFont="1" applyFill="1" applyBorder="1" applyAlignment="1">
      <alignment horizontal="right"/>
    </xf>
    <xf numFmtId="1" fontId="1" fillId="0" borderId="1" xfId="1" applyNumberFormat="1" applyFont="1" applyBorder="1"/>
    <xf numFmtId="1" fontId="1" fillId="0" borderId="0" xfId="1" applyNumberFormat="1" applyFont="1" applyBorder="1"/>
    <xf numFmtId="0" fontId="1" fillId="3" borderId="0" xfId="0" applyFont="1" applyFill="1" applyBorder="1" applyAlignment="1">
      <alignment horizontal="center"/>
    </xf>
    <xf numFmtId="0" fontId="1" fillId="3" borderId="2" xfId="0" applyFont="1" applyFill="1" applyBorder="1" applyAlignment="1">
      <alignment horizontal="center"/>
    </xf>
    <xf numFmtId="1" fontId="1" fillId="0" borderId="0" xfId="1" applyNumberFormat="1" applyFont="1" applyFill="1" applyBorder="1"/>
    <xf numFmtId="1" fontId="1" fillId="0" borderId="4" xfId="1" applyNumberFormat="1" applyFont="1" applyBorder="1"/>
    <xf numFmtId="167" fontId="0" fillId="0" borderId="0" xfId="2" applyNumberFormat="1" applyFont="1" applyBorder="1"/>
    <xf numFmtId="165" fontId="0" fillId="0" borderId="7" xfId="1" applyNumberFormat="1" applyFont="1" applyBorder="1"/>
    <xf numFmtId="165" fontId="0" fillId="0" borderId="6" xfId="1" applyNumberFormat="1" applyFont="1" applyBorder="1"/>
    <xf numFmtId="167" fontId="16" fillId="0" borderId="0" xfId="2" applyNumberFormat="1" applyFont="1" applyBorder="1"/>
    <xf numFmtId="167" fontId="16" fillId="0" borderId="0" xfId="2" applyNumberFormat="1" applyFont="1" applyBorder="1" applyAlignment="1">
      <alignment horizontal="right"/>
    </xf>
    <xf numFmtId="167" fontId="18" fillId="0" borderId="0" xfId="2" applyNumberFormat="1" applyFont="1" applyBorder="1" applyAlignment="1" applyProtection="1">
      <alignment horizontal="right"/>
    </xf>
    <xf numFmtId="167" fontId="15" fillId="2" borderId="0" xfId="2" applyNumberFormat="1" applyFont="1" applyFill="1" applyBorder="1" applyAlignment="1">
      <alignment horizontal="center"/>
    </xf>
    <xf numFmtId="167" fontId="15" fillId="0" borderId="0" xfId="2" applyNumberFormat="1" applyFont="1" applyBorder="1"/>
    <xf numFmtId="167" fontId="15" fillId="0" borderId="0" xfId="2" applyNumberFormat="1" applyFont="1" applyBorder="1" applyAlignment="1">
      <alignment horizontal="center"/>
    </xf>
    <xf numFmtId="167" fontId="18" fillId="0" borderId="0" xfId="2" applyNumberFormat="1" applyFont="1" applyBorder="1" applyAlignment="1" applyProtection="1">
      <alignment horizontal="left"/>
    </xf>
    <xf numFmtId="167" fontId="16" fillId="0" borderId="0" xfId="2" applyNumberFormat="1" applyFont="1" applyBorder="1" applyAlignment="1">
      <alignment horizontal="center"/>
    </xf>
    <xf numFmtId="167" fontId="18" fillId="0" borderId="0" xfId="2" applyNumberFormat="1" applyFont="1" applyBorder="1" applyProtection="1"/>
    <xf numFmtId="167" fontId="18" fillId="0" borderId="0" xfId="2" applyNumberFormat="1" applyFont="1" applyBorder="1"/>
    <xf numFmtId="167" fontId="16" fillId="0" borderId="0" xfId="2" applyNumberFormat="1" applyFont="1" applyBorder="1" applyAlignment="1" applyProtection="1">
      <alignment horizontal="center"/>
    </xf>
    <xf numFmtId="167" fontId="15" fillId="0" borderId="0" xfId="2" applyNumberFormat="1" applyFont="1" applyBorder="1" applyAlignment="1" applyProtection="1">
      <alignment horizontal="center"/>
    </xf>
    <xf numFmtId="167" fontId="15" fillId="0" borderId="0" xfId="2" applyNumberFormat="1" applyFont="1" applyBorder="1" applyProtection="1"/>
    <xf numFmtId="167" fontId="15" fillId="0" borderId="0" xfId="2" applyNumberFormat="1" applyFont="1" applyBorder="1" applyAlignment="1" applyProtection="1">
      <alignment horizontal="left"/>
    </xf>
    <xf numFmtId="167" fontId="16" fillId="0" borderId="0" xfId="2" applyNumberFormat="1" applyFont="1" applyBorder="1" applyProtection="1"/>
    <xf numFmtId="167" fontId="16" fillId="0" borderId="0" xfId="2" applyNumberFormat="1" applyFont="1" applyBorder="1" applyAlignment="1" applyProtection="1">
      <alignment horizontal="right"/>
    </xf>
    <xf numFmtId="0" fontId="16" fillId="0" borderId="0" xfId="0" applyFont="1" applyBorder="1"/>
    <xf numFmtId="0" fontId="16" fillId="0" borderId="0" xfId="0" applyFont="1" applyBorder="1" applyAlignment="1">
      <alignment horizontal="center"/>
    </xf>
    <xf numFmtId="0" fontId="16" fillId="0" borderId="0" xfId="0" applyFont="1" applyBorder="1" applyAlignment="1">
      <alignment horizontal="left"/>
    </xf>
    <xf numFmtId="0" fontId="15" fillId="0" borderId="0" xfId="0" applyFont="1" applyBorder="1"/>
    <xf numFmtId="0" fontId="18" fillId="0" borderId="0" xfId="0" applyFont="1" applyBorder="1" applyAlignment="1" applyProtection="1">
      <alignment horizontal="left"/>
    </xf>
    <xf numFmtId="14" fontId="16" fillId="0" borderId="0" xfId="0" applyNumberFormat="1" applyFont="1" applyBorder="1"/>
    <xf numFmtId="0" fontId="18" fillId="0" borderId="0" xfId="0" applyFont="1" applyBorder="1"/>
    <xf numFmtId="0" fontId="16" fillId="0" borderId="0" xfId="0" applyFont="1" applyBorder="1" applyAlignment="1" applyProtection="1">
      <alignment horizontal="left"/>
    </xf>
    <xf numFmtId="7" fontId="16" fillId="0" borderId="0" xfId="0" applyNumberFormat="1" applyFont="1" applyBorder="1" applyProtection="1"/>
    <xf numFmtId="0" fontId="16" fillId="0" borderId="0" xfId="0" applyFont="1" applyBorder="1" applyAlignment="1" applyProtection="1">
      <alignment horizontal="center"/>
    </xf>
    <xf numFmtId="0" fontId="15" fillId="0" borderId="0" xfId="0" applyFont="1" applyBorder="1" applyAlignment="1" applyProtection="1">
      <alignment horizontal="left"/>
    </xf>
    <xf numFmtId="2" fontId="4" fillId="0" borderId="0" xfId="0" applyNumberFormat="1" applyFont="1" applyFill="1" applyBorder="1" applyAlignment="1">
      <alignment horizontal="center"/>
    </xf>
    <xf numFmtId="43" fontId="1" fillId="0" borderId="0" xfId="1" applyFill="1" applyBorder="1"/>
    <xf numFmtId="0" fontId="1" fillId="0" borderId="0" xfId="0" applyFont="1" applyFill="1" applyBorder="1" applyAlignment="1" applyProtection="1">
      <alignment horizontal="left"/>
    </xf>
    <xf numFmtId="0" fontId="21" fillId="0" borderId="0" xfId="0" applyNumberFormat="1" applyFont="1" applyBorder="1" applyAlignment="1">
      <alignment horizontal="center"/>
    </xf>
    <xf numFmtId="14" fontId="6" fillId="0" borderId="0" xfId="0" applyNumberFormat="1" applyFont="1" applyBorder="1"/>
    <xf numFmtId="167" fontId="18" fillId="5" borderId="0" xfId="2" applyNumberFormat="1" applyFont="1" applyFill="1" applyBorder="1" applyProtection="1"/>
    <xf numFmtId="170" fontId="14" fillId="0" borderId="0" xfId="0" applyNumberFormat="1" applyFont="1" applyProtection="1"/>
    <xf numFmtId="43" fontId="1" fillId="0" borderId="0" xfId="1" applyFont="1" applyFill="1" applyBorder="1" applyAlignment="1" applyProtection="1">
      <alignment horizontal="center"/>
    </xf>
    <xf numFmtId="167" fontId="18" fillId="5" borderId="0" xfId="2" applyNumberFormat="1" applyFont="1" applyFill="1" applyBorder="1"/>
    <xf numFmtId="167" fontId="6" fillId="5" borderId="10" xfId="2" applyNumberFormat="1" applyFont="1" applyFill="1" applyBorder="1"/>
    <xf numFmtId="37" fontId="2" fillId="3" borderId="0" xfId="0" applyNumberFormat="1" applyFont="1" applyFill="1"/>
    <xf numFmtId="37" fontId="2" fillId="3" borderId="0" xfId="0" applyNumberFormat="1" applyFont="1" applyFill="1" applyAlignment="1">
      <alignment horizontal="right"/>
    </xf>
    <xf numFmtId="37" fontId="2" fillId="3" borderId="0" xfId="0" quotePrefix="1" applyNumberFormat="1" applyFont="1" applyFill="1" applyAlignment="1">
      <alignment horizontal="right"/>
    </xf>
    <xf numFmtId="37" fontId="2" fillId="3" borderId="0" xfId="0" applyNumberFormat="1" applyFont="1" applyFill="1" applyProtection="1"/>
    <xf numFmtId="37" fontId="2" fillId="3" borderId="11" xfId="0" applyNumberFormat="1" applyFont="1" applyFill="1" applyBorder="1"/>
    <xf numFmtId="167" fontId="1" fillId="0" borderId="23" xfId="2" applyNumberFormat="1" applyFont="1" applyBorder="1"/>
    <xf numFmtId="167" fontId="1" fillId="0" borderId="24" xfId="2" applyNumberFormat="1" applyFont="1" applyBorder="1"/>
    <xf numFmtId="37" fontId="0" fillId="0" borderId="24" xfId="0" applyNumberFormat="1" applyBorder="1" applyProtection="1"/>
    <xf numFmtId="37" fontId="0" fillId="0" borderId="25" xfId="0" applyNumberFormat="1" applyBorder="1" applyProtection="1"/>
    <xf numFmtId="167" fontId="1" fillId="0" borderId="26" xfId="2" applyNumberFormat="1" applyFont="1" applyBorder="1"/>
    <xf numFmtId="37" fontId="0" fillId="0" borderId="0" xfId="0" applyNumberFormat="1" applyBorder="1" applyProtection="1"/>
    <xf numFmtId="37" fontId="0" fillId="0" borderId="27" xfId="0" applyNumberFormat="1" applyBorder="1" applyProtection="1"/>
    <xf numFmtId="37" fontId="0" fillId="0" borderId="28" xfId="0" applyNumberFormat="1" applyBorder="1"/>
    <xf numFmtId="37" fontId="0" fillId="0" borderId="17" xfId="0" applyNumberFormat="1" applyBorder="1"/>
    <xf numFmtId="37" fontId="0" fillId="0" borderId="29" xfId="0" applyNumberFormat="1" applyBorder="1"/>
    <xf numFmtId="167" fontId="6" fillId="5" borderId="0" xfId="2" applyNumberFormat="1" applyFont="1" applyFill="1" applyBorder="1"/>
    <xf numFmtId="37" fontId="0" fillId="0" borderId="23" xfId="0" applyNumberFormat="1" applyBorder="1" applyProtection="1"/>
    <xf numFmtId="167" fontId="1" fillId="0" borderId="28" xfId="2" applyNumberFormat="1" applyFont="1" applyBorder="1"/>
    <xf numFmtId="167" fontId="1" fillId="0" borderId="17" xfId="2" applyNumberFormat="1" applyFont="1" applyBorder="1"/>
    <xf numFmtId="37" fontId="0" fillId="0" borderId="17" xfId="0" applyNumberFormat="1" applyBorder="1" applyProtection="1"/>
    <xf numFmtId="37" fontId="0" fillId="0" borderId="29" xfId="0" applyNumberFormat="1" applyBorder="1" applyProtection="1"/>
    <xf numFmtId="37" fontId="0" fillId="0" borderId="28" xfId="0" applyNumberFormat="1" applyBorder="1" applyProtection="1"/>
    <xf numFmtId="37" fontId="0" fillId="0" borderId="23" xfId="0" applyNumberFormat="1" applyBorder="1"/>
    <xf numFmtId="37" fontId="0" fillId="0" borderId="24" xfId="0" applyNumberFormat="1" applyBorder="1"/>
    <xf numFmtId="37" fontId="0" fillId="0" borderId="25" xfId="0" applyNumberFormat="1" applyBorder="1"/>
    <xf numFmtId="37" fontId="0" fillId="0" borderId="26" xfId="0" applyNumberFormat="1" applyBorder="1" applyProtection="1"/>
    <xf numFmtId="0" fontId="2" fillId="0" borderId="0" xfId="0" applyFont="1"/>
    <xf numFmtId="168" fontId="2" fillId="0" borderId="0" xfId="3" applyNumberFormat="1" applyFont="1"/>
    <xf numFmtId="1" fontId="2" fillId="0" borderId="0" xfId="0" quotePrefix="1" applyNumberFormat="1" applyFont="1"/>
    <xf numFmtId="14" fontId="1" fillId="6" borderId="0" xfId="0" applyNumberFormat="1" applyFont="1" applyFill="1" applyBorder="1" applyAlignment="1" applyProtection="1">
      <alignment horizontal="center"/>
    </xf>
    <xf numFmtId="14" fontId="1" fillId="6" borderId="0" xfId="0" applyNumberFormat="1" applyFont="1" applyFill="1" applyBorder="1" applyAlignment="1">
      <alignment horizontal="center"/>
    </xf>
    <xf numFmtId="14" fontId="1" fillId="6" borderId="0" xfId="0" applyNumberFormat="1" applyFont="1" applyFill="1" applyBorder="1"/>
    <xf numFmtId="167" fontId="2" fillId="0" borderId="0" xfId="2" applyNumberFormat="1" applyFont="1"/>
    <xf numFmtId="167" fontId="1" fillId="0" borderId="0" xfId="2" applyNumberFormat="1" applyBorder="1"/>
    <xf numFmtId="165" fontId="0" fillId="0" borderId="0" xfId="0" applyNumberFormat="1" applyBorder="1"/>
    <xf numFmtId="166" fontId="0" fillId="0" borderId="0" xfId="0" applyNumberFormat="1" applyBorder="1" applyAlignment="1" applyProtection="1">
      <alignment horizontal="left"/>
    </xf>
    <xf numFmtId="1" fontId="0" fillId="0" borderId="0" xfId="0" quotePrefix="1" applyNumberFormat="1" applyBorder="1"/>
    <xf numFmtId="168" fontId="2" fillId="0" borderId="0" xfId="3" applyNumberFormat="1" applyFont="1" applyBorder="1"/>
    <xf numFmtId="1" fontId="2" fillId="0" borderId="0" xfId="0" quotePrefix="1" applyNumberFormat="1" applyFont="1" applyBorder="1"/>
    <xf numFmtId="167" fontId="2" fillId="0" borderId="0" xfId="2" applyNumberFormat="1" applyFont="1" applyBorder="1"/>
    <xf numFmtId="168" fontId="1" fillId="0" borderId="0" xfId="3" applyNumberFormat="1" applyBorder="1" applyAlignment="1">
      <alignment horizontal="right"/>
    </xf>
    <xf numFmtId="170" fontId="14" fillId="0" borderId="0" xfId="0" applyNumberFormat="1" applyFont="1" applyBorder="1" applyProtection="1"/>
    <xf numFmtId="37" fontId="14" fillId="0" borderId="0" xfId="0" applyNumberFormat="1" applyFont="1" applyBorder="1" applyProtection="1"/>
    <xf numFmtId="10" fontId="14" fillId="0" borderId="0" xfId="0" applyNumberFormat="1" applyFont="1" applyBorder="1" applyProtection="1"/>
    <xf numFmtId="10" fontId="14" fillId="0" borderId="0" xfId="0" applyNumberFormat="1" applyFont="1" applyBorder="1" applyAlignment="1" applyProtection="1">
      <alignment horizontal="right"/>
    </xf>
    <xf numFmtId="0" fontId="14" fillId="4" borderId="0" xfId="0" applyFont="1" applyFill="1" applyBorder="1"/>
    <xf numFmtId="0" fontId="14" fillId="0" borderId="0" xfId="0" applyFont="1" applyBorder="1"/>
    <xf numFmtId="166" fontId="0" fillId="0" borderId="0" xfId="0" applyNumberFormat="1" applyBorder="1" applyProtection="1"/>
    <xf numFmtId="0" fontId="2" fillId="2" borderId="0" xfId="0" quotePrefix="1" applyFont="1" applyFill="1" applyBorder="1" applyAlignment="1">
      <alignment horizontal="right"/>
    </xf>
    <xf numFmtId="0" fontId="0" fillId="0" borderId="0" xfId="0" applyFill="1" applyBorder="1"/>
    <xf numFmtId="0" fontId="2" fillId="0" borderId="0" xfId="0" applyFont="1" applyFill="1" applyBorder="1" applyAlignment="1">
      <alignment horizontal="right"/>
    </xf>
    <xf numFmtId="165" fontId="0" fillId="0" borderId="0" xfId="1" applyNumberFormat="1" applyFont="1" applyBorder="1" applyAlignment="1">
      <alignment horizontal="right"/>
    </xf>
    <xf numFmtId="165" fontId="14" fillId="0" borderId="0" xfId="1" applyNumberFormat="1" applyFont="1" applyBorder="1" applyProtection="1"/>
    <xf numFmtId="165" fontId="1" fillId="0" borderId="0" xfId="1" applyNumberFormat="1" applyFont="1" applyBorder="1" applyAlignment="1" applyProtection="1">
      <alignment horizontal="left"/>
    </xf>
    <xf numFmtId="165" fontId="1" fillId="0" borderId="0" xfId="1" applyNumberFormat="1" applyFont="1" applyBorder="1"/>
    <xf numFmtId="165" fontId="4" fillId="0" borderId="0" xfId="1" applyNumberFormat="1" applyFont="1" applyBorder="1" applyAlignment="1" applyProtection="1">
      <alignment horizontal="left"/>
    </xf>
    <xf numFmtId="165" fontId="4" fillId="0" borderId="0" xfId="1" applyNumberFormat="1" applyFont="1" applyBorder="1"/>
    <xf numFmtId="165" fontId="7" fillId="0" borderId="0" xfId="1" applyNumberFormat="1" applyFont="1" applyBorder="1" applyAlignment="1" applyProtection="1">
      <alignment horizontal="left"/>
    </xf>
    <xf numFmtId="165" fontId="7" fillId="0" borderId="0" xfId="1" applyNumberFormat="1" applyFont="1" applyBorder="1"/>
    <xf numFmtId="165" fontId="7" fillId="0" borderId="0" xfId="1" applyNumberFormat="1" applyFont="1" applyBorder="1" applyAlignment="1">
      <alignment horizontal="right"/>
    </xf>
    <xf numFmtId="165" fontId="7" fillId="0" borderId="0" xfId="1" quotePrefix="1" applyNumberFormat="1" applyFont="1" applyBorder="1" applyAlignment="1">
      <alignment horizontal="center"/>
    </xf>
    <xf numFmtId="165" fontId="24" fillId="0" borderId="0" xfId="1" applyNumberFormat="1" applyFont="1" applyBorder="1" applyAlignment="1" applyProtection="1">
      <alignment horizontal="left"/>
    </xf>
    <xf numFmtId="165" fontId="24" fillId="0" borderId="0" xfId="1" applyNumberFormat="1" applyFont="1" applyBorder="1"/>
    <xf numFmtId="165" fontId="0" fillId="0" borderId="0" xfId="1" applyNumberFormat="1" applyFont="1" applyFill="1" applyBorder="1" applyAlignment="1">
      <alignment horizontal="right"/>
    </xf>
    <xf numFmtId="165" fontId="0" fillId="0" borderId="0" xfId="1" applyNumberFormat="1" applyFont="1" applyBorder="1" applyAlignment="1" applyProtection="1">
      <alignment horizontal="right"/>
    </xf>
    <xf numFmtId="0" fontId="0" fillId="0" borderId="10" xfId="0" quotePrefix="1" applyBorder="1" applyAlignment="1">
      <alignment horizontal="center"/>
    </xf>
    <xf numFmtId="167" fontId="0" fillId="0" borderId="10" xfId="2" applyNumberFormat="1" applyFont="1" applyBorder="1"/>
    <xf numFmtId="165" fontId="0" fillId="0" borderId="10" xfId="1" applyNumberFormat="1" applyFont="1" applyBorder="1"/>
    <xf numFmtId="166" fontId="2" fillId="2" borderId="22" xfId="0" applyNumberFormat="1" applyFont="1" applyFill="1" applyBorder="1" applyAlignment="1" applyProtection="1">
      <alignment horizontal="center"/>
    </xf>
    <xf numFmtId="166" fontId="2" fillId="2" borderId="20" xfId="0" applyNumberFormat="1" applyFont="1" applyFill="1" applyBorder="1" applyAlignment="1" applyProtection="1">
      <alignment horizontal="left"/>
    </xf>
    <xf numFmtId="166" fontId="2" fillId="2" borderId="3" xfId="0" applyNumberFormat="1" applyFont="1" applyFill="1" applyBorder="1" applyAlignment="1" applyProtection="1">
      <alignment horizontal="left"/>
    </xf>
    <xf numFmtId="166" fontId="2" fillId="2" borderId="4" xfId="0" applyNumberFormat="1" applyFont="1" applyFill="1" applyBorder="1" applyAlignment="1" applyProtection="1">
      <alignment horizontal="center"/>
    </xf>
    <xf numFmtId="0" fontId="2" fillId="2" borderId="4" xfId="0" applyFont="1" applyFill="1" applyBorder="1" applyAlignment="1">
      <alignment horizontal="right"/>
    </xf>
    <xf numFmtId="0" fontId="2" fillId="2" borderId="5" xfId="0" applyFont="1" applyFill="1" applyBorder="1" applyAlignment="1">
      <alignment horizontal="right"/>
    </xf>
    <xf numFmtId="0" fontId="0" fillId="2" borderId="0" xfId="0" applyFill="1" applyAlignment="1">
      <alignment horizontal="center"/>
    </xf>
    <xf numFmtId="0" fontId="0" fillId="2" borderId="7" xfId="0" quotePrefix="1" applyFill="1" applyBorder="1" applyAlignment="1">
      <alignment horizontal="center"/>
    </xf>
    <xf numFmtId="167" fontId="0" fillId="2" borderId="7" xfId="2" applyNumberFormat="1" applyFont="1" applyFill="1" applyBorder="1"/>
    <xf numFmtId="165" fontId="0" fillId="2" borderId="7" xfId="1" applyNumberFormat="1" applyFont="1" applyFill="1" applyBorder="1"/>
    <xf numFmtId="1" fontId="0" fillId="2" borderId="0" xfId="0" quotePrefix="1" applyNumberFormat="1" applyFill="1"/>
    <xf numFmtId="0" fontId="0" fillId="2" borderId="0" xfId="0" applyFill="1"/>
    <xf numFmtId="168" fontId="0" fillId="2" borderId="0" xfId="3" applyNumberFormat="1" applyFont="1" applyFill="1" applyAlignment="1">
      <alignment horizontal="right"/>
    </xf>
    <xf numFmtId="166" fontId="0" fillId="2" borderId="0" xfId="0" applyNumberFormat="1" applyFill="1" applyAlignment="1" applyProtection="1">
      <alignment horizontal="left"/>
    </xf>
    <xf numFmtId="170" fontId="14" fillId="2" borderId="0" xfId="0" applyNumberFormat="1" applyFont="1" applyFill="1" applyProtection="1"/>
    <xf numFmtId="37" fontId="14" fillId="2" borderId="0" xfId="0" applyNumberFormat="1" applyFont="1" applyFill="1" applyProtection="1"/>
    <xf numFmtId="10" fontId="14" fillId="2" borderId="0" xfId="0" applyNumberFormat="1" applyFont="1" applyFill="1" applyAlignment="1" applyProtection="1">
      <alignment horizontal="right"/>
    </xf>
    <xf numFmtId="0" fontId="14" fillId="2" borderId="0" xfId="0" applyFont="1" applyFill="1"/>
    <xf numFmtId="166" fontId="2" fillId="2" borderId="1" xfId="0" applyNumberFormat="1" applyFont="1" applyFill="1" applyBorder="1" applyAlignment="1" applyProtection="1">
      <alignment horizontal="center"/>
    </xf>
    <xf numFmtId="166" fontId="2" fillId="2" borderId="0" xfId="0" applyNumberFormat="1" applyFont="1" applyFill="1" applyBorder="1" applyAlignment="1" applyProtection="1">
      <alignment horizontal="left"/>
    </xf>
    <xf numFmtId="0" fontId="2" fillId="2" borderId="30" xfId="0" applyFont="1" applyFill="1" applyBorder="1" applyAlignment="1">
      <alignment horizontal="right"/>
    </xf>
    <xf numFmtId="3" fontId="0" fillId="0" borderId="0" xfId="0" applyNumberFormat="1"/>
    <xf numFmtId="0" fontId="0" fillId="0" borderId="11" xfId="0" applyBorder="1"/>
    <xf numFmtId="0" fontId="2" fillId="7" borderId="1" xfId="0" applyFont="1" applyFill="1" applyBorder="1"/>
    <xf numFmtId="0" fontId="2" fillId="7" borderId="3" xfId="0" applyFont="1" applyFill="1" applyBorder="1"/>
    <xf numFmtId="1" fontId="8" fillId="0" borderId="0" xfId="1" applyNumberFormat="1" applyFont="1" applyFill="1" applyBorder="1"/>
    <xf numFmtId="0" fontId="0" fillId="3" borderId="0" xfId="0" quotePrefix="1" applyFill="1"/>
    <xf numFmtId="167" fontId="25" fillId="3" borderId="0" xfId="2" applyNumberFormat="1" applyFont="1" applyFill="1"/>
    <xf numFmtId="167" fontId="2" fillId="0" borderId="0" xfId="2" applyNumberFormat="1" applyFont="1" applyFill="1"/>
    <xf numFmtId="0" fontId="8" fillId="0" borderId="0" xfId="0" applyFont="1" applyAlignment="1">
      <alignment horizontal="right"/>
    </xf>
    <xf numFmtId="0" fontId="2" fillId="0" borderId="0" xfId="0" applyFont="1" applyFill="1" applyBorder="1"/>
    <xf numFmtId="0" fontId="2" fillId="0" borderId="0" xfId="0" applyFont="1" applyFill="1" applyBorder="1" applyAlignment="1">
      <alignment horizontal="center"/>
    </xf>
    <xf numFmtId="0" fontId="2" fillId="0" borderId="0" xfId="0" quotePrefix="1" applyFont="1" applyFill="1" applyBorder="1" applyAlignment="1">
      <alignment horizontal="right"/>
    </xf>
    <xf numFmtId="1" fontId="2" fillId="2" borderId="21" xfId="0" applyNumberFormat="1" applyFont="1" applyFill="1" applyBorder="1" applyAlignment="1">
      <alignment horizontal="right"/>
    </xf>
    <xf numFmtId="1" fontId="2" fillId="2" borderId="2" xfId="0" applyNumberFormat="1" applyFont="1" applyFill="1" applyBorder="1" applyAlignment="1">
      <alignment horizontal="right"/>
    </xf>
    <xf numFmtId="37" fontId="0" fillId="0" borderId="0" xfId="0" applyNumberFormat="1" applyBorder="1"/>
    <xf numFmtId="1" fontId="2" fillId="2" borderId="2" xfId="0" quotePrefix="1" applyNumberFormat="1" applyFont="1" applyFill="1" applyBorder="1" applyAlignment="1">
      <alignment horizontal="right"/>
    </xf>
    <xf numFmtId="10" fontId="0" fillId="0" borderId="0" xfId="3" applyNumberFormat="1" applyFont="1" applyProtection="1"/>
    <xf numFmtId="37" fontId="2" fillId="0" borderId="0" xfId="0" applyNumberFormat="1" applyFont="1" applyAlignment="1">
      <alignment horizontal="center"/>
    </xf>
    <xf numFmtId="9" fontId="2" fillId="0" borderId="0" xfId="3" applyFont="1"/>
    <xf numFmtId="10" fontId="26" fillId="8" borderId="0" xfId="0" applyNumberFormat="1" applyFont="1" applyFill="1" applyProtection="1"/>
    <xf numFmtId="9" fontId="0" fillId="0" borderId="0" xfId="3" applyFont="1" applyBorder="1"/>
    <xf numFmtId="37" fontId="0" fillId="0" borderId="0" xfId="0" applyNumberFormat="1" applyFill="1"/>
    <xf numFmtId="0" fontId="0" fillId="9" borderId="0" xfId="0" applyFill="1" applyBorder="1"/>
    <xf numFmtId="37" fontId="0" fillId="9" borderId="0" xfId="0" applyNumberFormat="1" applyFill="1"/>
    <xf numFmtId="14" fontId="15" fillId="9" borderId="0" xfId="0" applyNumberFormat="1" applyFont="1" applyFill="1"/>
    <xf numFmtId="0" fontId="0" fillId="9" borderId="0" xfId="0" applyFill="1"/>
    <xf numFmtId="0" fontId="1" fillId="9" borderId="0" xfId="0" applyFont="1" applyFill="1" applyBorder="1"/>
    <xf numFmtId="37" fontId="2" fillId="9" borderId="0" xfId="0" applyNumberFormat="1" applyFont="1" applyFill="1"/>
    <xf numFmtId="37" fontId="2" fillId="0" borderId="0" xfId="0" applyNumberFormat="1" applyFont="1" applyFill="1"/>
    <xf numFmtId="37" fontId="2" fillId="0" borderId="0" xfId="0" applyNumberFormat="1" applyFont="1" applyFill="1" applyProtection="1"/>
    <xf numFmtId="0" fontId="6" fillId="9" borderId="0" xfId="0" applyFont="1" applyFill="1" applyBorder="1"/>
    <xf numFmtId="0" fontId="18" fillId="9" borderId="0" xfId="0" applyFont="1" applyFill="1" applyBorder="1"/>
    <xf numFmtId="0" fontId="19" fillId="9" borderId="0" xfId="0" applyFont="1" applyFill="1" applyBorder="1"/>
    <xf numFmtId="167" fontId="18" fillId="9" borderId="0" xfId="2" applyNumberFormat="1" applyFont="1" applyFill="1" applyBorder="1"/>
    <xf numFmtId="167" fontId="6" fillId="9" borderId="0" xfId="2" applyNumberFormat="1" applyFont="1" applyFill="1" applyBorder="1"/>
    <xf numFmtId="43" fontId="6" fillId="9" borderId="0" xfId="1" applyFont="1" applyFill="1" applyBorder="1"/>
    <xf numFmtId="37" fontId="0" fillId="9" borderId="26" xfId="0" applyNumberFormat="1" applyFill="1" applyBorder="1"/>
    <xf numFmtId="0" fontId="10" fillId="0" borderId="0" xfId="0" applyFont="1" applyFill="1" applyBorder="1" applyAlignment="1">
      <alignment horizontal="center"/>
    </xf>
    <xf numFmtId="0" fontId="4" fillId="0" borderId="0" xfId="0" applyFont="1" applyFill="1" applyBorder="1" applyAlignment="1">
      <alignment horizontal="center"/>
    </xf>
    <xf numFmtId="14" fontId="10" fillId="0" borderId="0" xfId="0" applyNumberFormat="1" applyFont="1" applyFill="1" applyBorder="1" applyAlignment="1">
      <alignment horizontal="right"/>
    </xf>
    <xf numFmtId="14" fontId="10" fillId="0" borderId="0" xfId="0" applyNumberFormat="1" applyFont="1" applyFill="1" applyBorder="1" applyAlignment="1">
      <alignment horizontal="center"/>
    </xf>
    <xf numFmtId="43" fontId="4" fillId="0" borderId="0" xfId="1" applyFont="1" applyFill="1" applyBorder="1" applyAlignment="1">
      <alignment horizontal="center"/>
    </xf>
    <xf numFmtId="14" fontId="15" fillId="0" borderId="0" xfId="0" applyNumberFormat="1" applyFont="1" applyFill="1"/>
    <xf numFmtId="1" fontId="1" fillId="0" borderId="0" xfId="0" applyNumberFormat="1" applyFont="1" applyFill="1" applyBorder="1"/>
    <xf numFmtId="0" fontId="16" fillId="0" borderId="0" xfId="0" applyFont="1" applyFill="1" applyBorder="1" applyAlignment="1">
      <alignment horizontal="left"/>
    </xf>
    <xf numFmtId="0" fontId="0" fillId="5" borderId="0" xfId="0" applyFill="1" applyAlignment="1">
      <alignment horizontal="right"/>
    </xf>
    <xf numFmtId="167" fontId="4" fillId="5" borderId="0" xfId="2" applyNumberFormat="1" applyFont="1" applyFill="1" applyBorder="1" applyAlignment="1">
      <alignment horizontal="center"/>
    </xf>
    <xf numFmtId="0" fontId="0" fillId="5" borderId="0" xfId="0" applyFill="1"/>
    <xf numFmtId="167" fontId="1" fillId="5" borderId="8" xfId="2" applyNumberFormat="1" applyFont="1" applyFill="1" applyBorder="1"/>
    <xf numFmtId="167" fontId="1" fillId="5" borderId="9" xfId="2" applyNumberFormat="1" applyFont="1" applyFill="1" applyBorder="1"/>
    <xf numFmtId="167" fontId="1" fillId="5" borderId="10" xfId="2" applyNumberFormat="1" applyFont="1" applyFill="1" applyBorder="1"/>
    <xf numFmtId="167" fontId="1" fillId="5" borderId="0" xfId="2" applyNumberFormat="1" applyFont="1" applyFill="1" applyBorder="1" applyAlignment="1">
      <alignment horizontal="center"/>
    </xf>
    <xf numFmtId="167" fontId="1" fillId="5" borderId="0" xfId="2" applyNumberFormat="1" applyFont="1" applyFill="1" applyBorder="1"/>
    <xf numFmtId="167" fontId="6" fillId="5" borderId="0" xfId="2" applyNumberFormat="1" applyFont="1" applyFill="1" applyBorder="1" applyAlignment="1" applyProtection="1">
      <alignment horizontal="left"/>
    </xf>
    <xf numFmtId="167" fontId="1" fillId="5" borderId="0" xfId="2" applyNumberFormat="1" applyFont="1" applyFill="1" applyBorder="1" applyAlignment="1" applyProtection="1">
      <alignment horizontal="center"/>
    </xf>
    <xf numFmtId="167" fontId="4" fillId="5" borderId="8" xfId="2" applyNumberFormat="1" applyFont="1" applyFill="1" applyBorder="1" applyAlignment="1">
      <alignment horizontal="center"/>
    </xf>
    <xf numFmtId="167" fontId="4" fillId="5" borderId="9" xfId="2" applyNumberFormat="1" applyFont="1" applyFill="1" applyBorder="1" applyAlignment="1">
      <alignment horizontal="center"/>
    </xf>
    <xf numFmtId="167" fontId="4" fillId="5" borderId="9" xfId="2" applyNumberFormat="1" applyFont="1" applyFill="1" applyBorder="1" applyProtection="1"/>
    <xf numFmtId="167" fontId="4" fillId="5" borderId="9" xfId="2" applyNumberFormat="1" applyFont="1" applyFill="1" applyBorder="1" applyAlignment="1" applyProtection="1">
      <alignment horizontal="center"/>
    </xf>
    <xf numFmtId="167" fontId="4" fillId="5" borderId="9" xfId="2" applyNumberFormat="1" applyFont="1" applyFill="1" applyBorder="1" applyAlignment="1" applyProtection="1">
      <alignment horizontal="left"/>
    </xf>
    <xf numFmtId="167" fontId="4" fillId="5" borderId="9" xfId="2" applyNumberFormat="1" applyFont="1" applyFill="1" applyBorder="1"/>
    <xf numFmtId="167" fontId="1" fillId="5" borderId="9" xfId="2" applyNumberFormat="1" applyFont="1" applyFill="1" applyBorder="1" applyAlignment="1" applyProtection="1">
      <alignment horizontal="right"/>
    </xf>
    <xf numFmtId="37" fontId="0" fillId="5" borderId="11" xfId="0" applyNumberFormat="1" applyFill="1" applyBorder="1"/>
    <xf numFmtId="37" fontId="0" fillId="0" borderId="26" xfId="0" applyNumberFormat="1" applyBorder="1"/>
    <xf numFmtId="37" fontId="0" fillId="0" borderId="27" xfId="0" applyNumberFormat="1" applyBorder="1"/>
    <xf numFmtId="37" fontId="0" fillId="9" borderId="0" xfId="0" applyNumberFormat="1" applyFill="1" applyBorder="1"/>
    <xf numFmtId="37" fontId="0" fillId="9" borderId="27" xfId="0" applyNumberFormat="1" applyFill="1" applyBorder="1"/>
    <xf numFmtId="37" fontId="0" fillId="5" borderId="0" xfId="0" applyNumberFormat="1" applyFill="1"/>
    <xf numFmtId="0" fontId="4" fillId="5" borderId="0" xfId="0" applyFont="1" applyFill="1" applyBorder="1"/>
    <xf numFmtId="43" fontId="4" fillId="5" borderId="0" xfId="1" applyFont="1" applyFill="1" applyBorder="1" applyAlignment="1">
      <alignment horizontal="center"/>
    </xf>
    <xf numFmtId="2" fontId="4" fillId="5" borderId="0" xfId="0" applyNumberFormat="1" applyFont="1" applyFill="1" applyBorder="1" applyAlignment="1">
      <alignment horizontal="center"/>
    </xf>
    <xf numFmtId="0" fontId="0" fillId="0" borderId="31" xfId="0" applyBorder="1" applyAlignment="1">
      <alignment horizontal="right"/>
    </xf>
    <xf numFmtId="0" fontId="2" fillId="2" borderId="31" xfId="0" applyFont="1" applyFill="1" applyBorder="1" applyAlignment="1">
      <alignment horizontal="right"/>
    </xf>
    <xf numFmtId="0" fontId="2" fillId="0" borderId="0" xfId="0" applyFont="1" applyAlignment="1">
      <alignment horizontal="center"/>
    </xf>
    <xf numFmtId="167" fontId="2" fillId="0" borderId="7" xfId="2" applyNumberFormat="1" applyFont="1" applyBorder="1"/>
    <xf numFmtId="0" fontId="0" fillId="3" borderId="22" xfId="0" quotePrefix="1" applyFill="1" applyBorder="1"/>
    <xf numFmtId="0" fontId="0" fillId="3" borderId="20" xfId="0" applyFill="1" applyBorder="1"/>
    <xf numFmtId="165" fontId="0" fillId="3" borderId="20" xfId="1" applyNumberFormat="1" applyFont="1" applyFill="1" applyBorder="1"/>
    <xf numFmtId="165" fontId="0" fillId="3" borderId="21" xfId="1" applyNumberFormat="1" applyFont="1" applyFill="1" applyBorder="1"/>
    <xf numFmtId="0" fontId="0" fillId="0" borderId="3" xfId="0" applyBorder="1"/>
    <xf numFmtId="0" fontId="0" fillId="0" borderId="4" xfId="0" applyBorder="1"/>
    <xf numFmtId="165" fontId="0" fillId="0" borderId="4" xfId="1" applyNumberFormat="1" applyFont="1" applyBorder="1"/>
    <xf numFmtId="165" fontId="0" fillId="0" borderId="5" xfId="1" applyNumberFormat="1" applyFont="1" applyBorder="1"/>
    <xf numFmtId="0" fontId="2" fillId="0" borderId="15" xfId="0" applyFont="1" applyFill="1" applyBorder="1" applyAlignment="1">
      <alignment horizontal="right"/>
    </xf>
    <xf numFmtId="167" fontId="25" fillId="3" borderId="30" xfId="2" applyNumberFormat="1" applyFont="1" applyFill="1" applyBorder="1"/>
    <xf numFmtId="167" fontId="2" fillId="0" borderId="30" xfId="2" applyNumberFormat="1" applyFont="1" applyFill="1" applyBorder="1"/>
    <xf numFmtId="167" fontId="25" fillId="3" borderId="30" xfId="2" applyNumberFormat="1" applyFont="1" applyFill="1" applyBorder="1" applyAlignment="1">
      <alignment horizontal="right"/>
    </xf>
    <xf numFmtId="167" fontId="25" fillId="3" borderId="16" xfId="2" applyNumberFormat="1" applyFont="1" applyFill="1" applyBorder="1"/>
    <xf numFmtId="10" fontId="0" fillId="0" borderId="0" xfId="0" applyNumberFormat="1" applyBorder="1"/>
    <xf numFmtId="165" fontId="4" fillId="0" borderId="11" xfId="1" applyNumberFormat="1" applyFont="1" applyBorder="1"/>
    <xf numFmtId="165" fontId="7" fillId="0" borderId="11" xfId="1" applyNumberFormat="1" applyFont="1" applyBorder="1"/>
    <xf numFmtId="0" fontId="2" fillId="0" borderId="17" xfId="0" applyFont="1" applyBorder="1" applyAlignment="1">
      <alignment horizontal="left"/>
    </xf>
    <xf numFmtId="0" fontId="2" fillId="0" borderId="17" xfId="0" applyFont="1" applyBorder="1" applyAlignment="1">
      <alignment horizontal="right"/>
    </xf>
    <xf numFmtId="9" fontId="0" fillId="0" borderId="0" xfId="3" applyFont="1"/>
    <xf numFmtId="167" fontId="8" fillId="0" borderId="0" xfId="2" applyNumberFormat="1" applyFont="1"/>
    <xf numFmtId="167" fontId="1" fillId="0" borderId="0" xfId="2" applyNumberFormat="1" applyFill="1" applyBorder="1"/>
    <xf numFmtId="165" fontId="1" fillId="0" borderId="0" xfId="1" applyNumberFormat="1" applyFill="1" applyBorder="1"/>
    <xf numFmtId="9" fontId="1" fillId="0" borderId="0" xfId="3" applyFill="1" applyBorder="1"/>
    <xf numFmtId="37" fontId="0" fillId="0" borderId="0" xfId="0" applyNumberFormat="1" applyFill="1" applyBorder="1"/>
    <xf numFmtId="9" fontId="2" fillId="0" borderId="0" xfId="3" applyFont="1" applyFill="1" applyBorder="1"/>
    <xf numFmtId="168" fontId="2" fillId="0" borderId="0" xfId="3" applyNumberFormat="1" applyFont="1" applyFill="1" applyBorder="1"/>
    <xf numFmtId="167" fontId="2" fillId="0" borderId="0" xfId="2" applyNumberFormat="1" applyFont="1" applyFill="1" applyBorder="1"/>
    <xf numFmtId="10" fontId="1" fillId="0" borderId="0" xfId="3" applyNumberFormat="1" applyFill="1" applyBorder="1" applyProtection="1"/>
    <xf numFmtId="166" fontId="0" fillId="0" borderId="0" xfId="0" applyNumberFormat="1" applyFill="1" applyBorder="1" applyProtection="1"/>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vertical="center" wrapText="1"/>
    </xf>
    <xf numFmtId="0" fontId="12" fillId="0" borderId="0" xfId="0" applyFont="1"/>
    <xf numFmtId="0" fontId="12" fillId="0" borderId="0" xfId="0" applyFont="1" applyAlignment="1">
      <alignment wrapText="1"/>
    </xf>
    <xf numFmtId="0" fontId="12" fillId="0" borderId="0" xfId="0" quotePrefix="1" applyFont="1" applyAlignment="1">
      <alignment horizontal="right" wrapText="1"/>
    </xf>
    <xf numFmtId="0" fontId="27" fillId="0" borderId="0" xfId="0" applyFont="1"/>
    <xf numFmtId="166" fontId="12" fillId="0" borderId="0" xfId="0" applyNumberFormat="1" applyFont="1" applyAlignment="1" applyProtection="1">
      <alignment horizontal="left"/>
    </xf>
    <xf numFmtId="0" fontId="12" fillId="0" borderId="0" xfId="0" applyFont="1" applyAlignment="1">
      <alignment vertical="center"/>
    </xf>
    <xf numFmtId="166" fontId="12" fillId="0" borderId="0" xfId="0" applyNumberFormat="1" applyFont="1" applyAlignment="1" applyProtection="1">
      <alignment horizontal="left" vertical="center"/>
    </xf>
    <xf numFmtId="0" fontId="12" fillId="0" borderId="0" xfId="0" applyFont="1" applyAlignment="1">
      <alignment vertical="center" wrapText="1"/>
    </xf>
    <xf numFmtId="165" fontId="12" fillId="0" borderId="0" xfId="0" applyNumberFormat="1" applyFont="1" applyAlignment="1">
      <alignment vertical="center"/>
    </xf>
    <xf numFmtId="0" fontId="27" fillId="0" borderId="0" xfId="0" applyFont="1" applyAlignment="1">
      <alignment vertical="center"/>
    </xf>
    <xf numFmtId="166" fontId="27" fillId="0" borderId="0" xfId="0" applyNumberFormat="1" applyFont="1" applyAlignment="1" applyProtection="1">
      <alignment horizontal="left" vertical="center"/>
    </xf>
    <xf numFmtId="0" fontId="27" fillId="0" borderId="0" xfId="0" applyFont="1" applyAlignment="1">
      <alignment vertical="center" wrapText="1"/>
    </xf>
    <xf numFmtId="0" fontId="12" fillId="0" borderId="0" xfId="0" applyFont="1" applyFill="1" applyBorder="1" applyAlignment="1">
      <alignment vertical="center" wrapText="1"/>
    </xf>
    <xf numFmtId="167" fontId="0" fillId="0" borderId="24" xfId="2" applyNumberFormat="1" applyFont="1" applyBorder="1"/>
    <xf numFmtId="0" fontId="2" fillId="2" borderId="12" xfId="0" applyFont="1" applyFill="1" applyBorder="1"/>
    <xf numFmtId="0" fontId="2" fillId="2" borderId="13" xfId="0" applyFont="1" applyFill="1" applyBorder="1"/>
    <xf numFmtId="167" fontId="2" fillId="2" borderId="13" xfId="2" applyNumberFormat="1" applyFont="1" applyFill="1" applyBorder="1"/>
    <xf numFmtId="1" fontId="2" fillId="2" borderId="13" xfId="0" quotePrefix="1" applyNumberFormat="1" applyFont="1" applyFill="1" applyBorder="1"/>
    <xf numFmtId="1" fontId="2" fillId="2" borderId="14" xfId="0" quotePrefix="1" applyNumberFormat="1" applyFont="1" applyFill="1" applyBorder="1"/>
    <xf numFmtId="0" fontId="12" fillId="0" borderId="0" xfId="0" quotePrefix="1" applyFont="1" applyAlignment="1">
      <alignment vertical="center"/>
    </xf>
    <xf numFmtId="0" fontId="12" fillId="0" borderId="0" xfId="0" applyFont="1" applyAlignment="1"/>
    <xf numFmtId="0" fontId="0" fillId="0" borderId="0" xfId="0" applyAlignment="1"/>
    <xf numFmtId="166" fontId="12" fillId="0" borderId="0" xfId="0" applyNumberFormat="1" applyFont="1" applyAlignment="1" applyProtection="1">
      <alignment horizontal="left" vertical="center" wrapText="1"/>
    </xf>
    <xf numFmtId="0" fontId="4" fillId="0" borderId="0" xfId="0" applyFont="1" applyAlignment="1">
      <alignment vertical="center"/>
    </xf>
    <xf numFmtId="0" fontId="4" fillId="0" borderId="0" xfId="0" applyFont="1" applyFill="1" applyBorder="1" applyAlignment="1">
      <alignment vertical="center" wrapText="1"/>
    </xf>
    <xf numFmtId="0" fontId="4" fillId="0" borderId="0" xfId="0" applyFont="1" applyAlignment="1">
      <alignment vertical="center" wrapText="1"/>
    </xf>
    <xf numFmtId="0" fontId="4" fillId="0" borderId="0" xfId="0" applyFont="1"/>
    <xf numFmtId="0" fontId="4" fillId="0" borderId="0" xfId="0" applyFont="1" applyAlignment="1"/>
    <xf numFmtId="0" fontId="4" fillId="0" borderId="0" xfId="0" applyFont="1" applyAlignment="1">
      <alignment wrapText="1"/>
    </xf>
    <xf numFmtId="1" fontId="28" fillId="0" borderId="10" xfId="0" applyNumberFormat="1" applyFont="1" applyBorder="1"/>
    <xf numFmtId="1" fontId="28" fillId="2" borderId="7" xfId="0" applyNumberFormat="1" applyFont="1" applyFill="1" applyBorder="1"/>
    <xf numFmtId="1" fontId="28" fillId="0" borderId="7" xfId="0" applyNumberFormat="1" applyFont="1" applyBorder="1"/>
    <xf numFmtId="165" fontId="28" fillId="0" borderId="0" xfId="1" applyNumberFormat="1" applyFont="1"/>
    <xf numFmtId="0" fontId="15" fillId="0" borderId="0" xfId="0" applyFont="1" applyBorder="1" applyAlignment="1">
      <alignment horizontal="left"/>
    </xf>
    <xf numFmtId="0" fontId="10" fillId="0" borderId="0" xfId="0" applyFont="1" applyBorder="1" applyAlignment="1">
      <alignment horizontal="right"/>
    </xf>
    <xf numFmtId="0" fontId="2" fillId="2" borderId="17" xfId="0" applyFont="1" applyFill="1" applyBorder="1" applyAlignment="1">
      <alignment horizontal="center"/>
    </xf>
    <xf numFmtId="0" fontId="2" fillId="2" borderId="32" xfId="0" applyFont="1" applyFill="1" applyBorder="1" applyAlignment="1">
      <alignment horizontal="center"/>
    </xf>
    <xf numFmtId="0" fontId="0" fillId="0" borderId="4" xfId="0" applyBorder="1" applyAlignment="1">
      <alignment horizontal="center"/>
    </xf>
    <xf numFmtId="0" fontId="0" fillId="0" borderId="0" xfId="0" applyAlignment="1">
      <alignment horizontal="center"/>
    </xf>
    <xf numFmtId="0" fontId="11" fillId="0" borderId="0" xfId="0" applyFont="1" applyBorder="1" applyAlignment="1">
      <alignment horizontal="center"/>
    </xf>
    <xf numFmtId="0" fontId="1" fillId="0" borderId="0" xfId="0" applyFont="1"/>
    <xf numFmtId="0" fontId="0" fillId="0" borderId="0" xfId="0" applyFont="1" applyAlignment="1">
      <alignment horizontal="right"/>
    </xf>
    <xf numFmtId="10" fontId="29" fillId="0" borderId="0" xfId="3" applyNumberFormat="1" applyFont="1"/>
    <xf numFmtId="167" fontId="29" fillId="0" borderId="0" xfId="2" applyNumberFormat="1" applyFont="1"/>
    <xf numFmtId="0" fontId="29" fillId="0" borderId="0" xfId="0"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314325</xdr:colOff>
      <xdr:row>9</xdr:row>
      <xdr:rowOff>0</xdr:rowOff>
    </xdr:from>
    <xdr:to>
      <xdr:col>2</xdr:col>
      <xdr:colOff>209550</xdr:colOff>
      <xdr:row>11</xdr:row>
      <xdr:rowOff>152400</xdr:rowOff>
    </xdr:to>
    <xdr:sp macro="" textlink="">
      <xdr:nvSpPr>
        <xdr:cNvPr id="1037" name="Line 2">
          <a:extLst>
            <a:ext uri="{FF2B5EF4-FFF2-40B4-BE49-F238E27FC236}">
              <a16:creationId xmlns:a16="http://schemas.microsoft.com/office/drawing/2014/main" id="{910BB483-E84B-4E7D-95C8-139ED367F2FC}"/>
            </a:ext>
          </a:extLst>
        </xdr:cNvPr>
        <xdr:cNvSpPr>
          <a:spLocks noChangeShapeType="1"/>
        </xdr:cNvSpPr>
      </xdr:nvSpPr>
      <xdr:spPr bwMode="auto">
        <a:xfrm flipV="1">
          <a:off x="923925" y="1457325"/>
          <a:ext cx="504825"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161925</xdr:colOff>
      <xdr:row>9</xdr:row>
      <xdr:rowOff>47625</xdr:rowOff>
    </xdr:from>
    <xdr:to>
      <xdr:col>4</xdr:col>
      <xdr:colOff>228600</xdr:colOff>
      <xdr:row>13</xdr:row>
      <xdr:rowOff>114300</xdr:rowOff>
    </xdr:to>
    <xdr:sp macro="" textlink="">
      <xdr:nvSpPr>
        <xdr:cNvPr id="1038" name="Line 3">
          <a:extLst>
            <a:ext uri="{FF2B5EF4-FFF2-40B4-BE49-F238E27FC236}">
              <a16:creationId xmlns:a16="http://schemas.microsoft.com/office/drawing/2014/main" id="{0D2CCC94-3255-488D-9E7B-129A312DBD3E}"/>
            </a:ext>
          </a:extLst>
        </xdr:cNvPr>
        <xdr:cNvSpPr>
          <a:spLocks noChangeShapeType="1"/>
        </xdr:cNvSpPr>
      </xdr:nvSpPr>
      <xdr:spPr bwMode="auto">
        <a:xfrm flipV="1">
          <a:off x="1990725" y="1504950"/>
          <a:ext cx="676275" cy="714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219075</xdr:colOff>
      <xdr:row>8</xdr:row>
      <xdr:rowOff>152400</xdr:rowOff>
    </xdr:from>
    <xdr:to>
      <xdr:col>5</xdr:col>
      <xdr:colOff>342900</xdr:colOff>
      <xdr:row>12</xdr:row>
      <xdr:rowOff>95250</xdr:rowOff>
    </xdr:to>
    <xdr:sp macro="" textlink="">
      <xdr:nvSpPr>
        <xdr:cNvPr id="1039" name="Line 4">
          <a:extLst>
            <a:ext uri="{FF2B5EF4-FFF2-40B4-BE49-F238E27FC236}">
              <a16:creationId xmlns:a16="http://schemas.microsoft.com/office/drawing/2014/main" id="{7B40A962-1A59-479D-964C-3A4D8CCF318E}"/>
            </a:ext>
          </a:extLst>
        </xdr:cNvPr>
        <xdr:cNvSpPr>
          <a:spLocks noChangeShapeType="1"/>
        </xdr:cNvSpPr>
      </xdr:nvSpPr>
      <xdr:spPr bwMode="auto">
        <a:xfrm flipH="1" flipV="1">
          <a:off x="3267075" y="1447800"/>
          <a:ext cx="123825" cy="590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85725</xdr:colOff>
      <xdr:row>9</xdr:row>
      <xdr:rowOff>19050</xdr:rowOff>
    </xdr:from>
    <xdr:to>
      <xdr:col>7</xdr:col>
      <xdr:colOff>381000</xdr:colOff>
      <xdr:row>12</xdr:row>
      <xdr:rowOff>104775</xdr:rowOff>
    </xdr:to>
    <xdr:sp macro="" textlink="">
      <xdr:nvSpPr>
        <xdr:cNvPr id="1040" name="Line 5">
          <a:extLst>
            <a:ext uri="{FF2B5EF4-FFF2-40B4-BE49-F238E27FC236}">
              <a16:creationId xmlns:a16="http://schemas.microsoft.com/office/drawing/2014/main" id="{EAD1E37F-46B6-4304-961B-A8EEA3641EBE}"/>
            </a:ext>
          </a:extLst>
        </xdr:cNvPr>
        <xdr:cNvSpPr>
          <a:spLocks noChangeShapeType="1"/>
        </xdr:cNvSpPr>
      </xdr:nvSpPr>
      <xdr:spPr bwMode="auto">
        <a:xfrm flipH="1" flipV="1">
          <a:off x="4352925" y="1476375"/>
          <a:ext cx="295275" cy="571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428625</xdr:colOff>
      <xdr:row>3</xdr:row>
      <xdr:rowOff>95250</xdr:rowOff>
    </xdr:from>
    <xdr:to>
      <xdr:col>2</xdr:col>
      <xdr:colOff>342900</xdr:colOff>
      <xdr:row>7</xdr:row>
      <xdr:rowOff>66675</xdr:rowOff>
    </xdr:to>
    <xdr:sp macro="" textlink="">
      <xdr:nvSpPr>
        <xdr:cNvPr id="1041" name="Line 6">
          <a:extLst>
            <a:ext uri="{FF2B5EF4-FFF2-40B4-BE49-F238E27FC236}">
              <a16:creationId xmlns:a16="http://schemas.microsoft.com/office/drawing/2014/main" id="{43ECEB84-4F63-4189-8B63-C07E39811E71}"/>
            </a:ext>
          </a:extLst>
        </xdr:cNvPr>
        <xdr:cNvSpPr>
          <a:spLocks noChangeShapeType="1"/>
        </xdr:cNvSpPr>
      </xdr:nvSpPr>
      <xdr:spPr bwMode="auto">
        <a:xfrm>
          <a:off x="1038225" y="581025"/>
          <a:ext cx="523875" cy="619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171450</xdr:colOff>
      <xdr:row>3</xdr:row>
      <xdr:rowOff>133350</xdr:rowOff>
    </xdr:from>
    <xdr:to>
      <xdr:col>5</xdr:col>
      <xdr:colOff>247650</xdr:colOff>
      <xdr:row>7</xdr:row>
      <xdr:rowOff>38100</xdr:rowOff>
    </xdr:to>
    <xdr:sp macro="" textlink="">
      <xdr:nvSpPr>
        <xdr:cNvPr id="1042" name="Line 7">
          <a:extLst>
            <a:ext uri="{FF2B5EF4-FFF2-40B4-BE49-F238E27FC236}">
              <a16:creationId xmlns:a16="http://schemas.microsoft.com/office/drawing/2014/main" id="{4133AB85-B873-4186-870E-494747009D9D}"/>
            </a:ext>
          </a:extLst>
        </xdr:cNvPr>
        <xdr:cNvSpPr>
          <a:spLocks noChangeShapeType="1"/>
        </xdr:cNvSpPr>
      </xdr:nvSpPr>
      <xdr:spPr bwMode="auto">
        <a:xfrm>
          <a:off x="2609850" y="619125"/>
          <a:ext cx="685800" cy="552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523875</xdr:colOff>
      <xdr:row>4</xdr:row>
      <xdr:rowOff>9525</xdr:rowOff>
    </xdr:from>
    <xdr:to>
      <xdr:col>7</xdr:col>
      <xdr:colOff>47625</xdr:colOff>
      <xdr:row>7</xdr:row>
      <xdr:rowOff>19050</xdr:rowOff>
    </xdr:to>
    <xdr:sp macro="" textlink="">
      <xdr:nvSpPr>
        <xdr:cNvPr id="1043" name="Line 11">
          <a:extLst>
            <a:ext uri="{FF2B5EF4-FFF2-40B4-BE49-F238E27FC236}">
              <a16:creationId xmlns:a16="http://schemas.microsoft.com/office/drawing/2014/main" id="{ADB693E9-ED0C-4317-AEEE-66100F8B87C1}"/>
            </a:ext>
          </a:extLst>
        </xdr:cNvPr>
        <xdr:cNvSpPr>
          <a:spLocks noChangeShapeType="1"/>
        </xdr:cNvSpPr>
      </xdr:nvSpPr>
      <xdr:spPr bwMode="auto">
        <a:xfrm flipH="1">
          <a:off x="3571875" y="657225"/>
          <a:ext cx="742950" cy="495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428625</xdr:colOff>
      <xdr:row>4</xdr:row>
      <xdr:rowOff>38100</xdr:rowOff>
    </xdr:from>
    <xdr:to>
      <xdr:col>8</xdr:col>
      <xdr:colOff>190500</xdr:colOff>
      <xdr:row>7</xdr:row>
      <xdr:rowOff>9525</xdr:rowOff>
    </xdr:to>
    <xdr:sp macro="" textlink="">
      <xdr:nvSpPr>
        <xdr:cNvPr id="1044" name="Line 12">
          <a:extLst>
            <a:ext uri="{FF2B5EF4-FFF2-40B4-BE49-F238E27FC236}">
              <a16:creationId xmlns:a16="http://schemas.microsoft.com/office/drawing/2014/main" id="{095403E8-4FC5-4D19-B375-7564D48328B0}"/>
            </a:ext>
          </a:extLst>
        </xdr:cNvPr>
        <xdr:cNvSpPr>
          <a:spLocks noChangeShapeType="1"/>
        </xdr:cNvSpPr>
      </xdr:nvSpPr>
      <xdr:spPr bwMode="auto">
        <a:xfrm flipH="1">
          <a:off x="4695825" y="685800"/>
          <a:ext cx="5143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17</xdr:row>
      <xdr:rowOff>0</xdr:rowOff>
    </xdr:from>
    <xdr:to>
      <xdr:col>10</xdr:col>
      <xdr:colOff>0</xdr:colOff>
      <xdr:row>17</xdr:row>
      <xdr:rowOff>0</xdr:rowOff>
    </xdr:to>
    <xdr:sp macro="" textlink="">
      <xdr:nvSpPr>
        <xdr:cNvPr id="7169" name="Text Box 1">
          <a:extLst>
            <a:ext uri="{FF2B5EF4-FFF2-40B4-BE49-F238E27FC236}">
              <a16:creationId xmlns:a16="http://schemas.microsoft.com/office/drawing/2014/main" id="{99DA83A7-8CA8-4FA0-9935-30C4E0AB6A62}"/>
            </a:ext>
          </a:extLst>
        </xdr:cNvPr>
        <xdr:cNvSpPr txBox="1">
          <a:spLocks noChangeArrowheads="1"/>
        </xdr:cNvSpPr>
      </xdr:nvSpPr>
      <xdr:spPr bwMode="auto">
        <a:xfrm>
          <a:off x="14049375" y="51911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Column B is source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114300</xdr:colOff>
      <xdr:row>25</xdr:row>
      <xdr:rowOff>152400</xdr:rowOff>
    </xdr:from>
    <xdr:to>
      <xdr:col>11</xdr:col>
      <xdr:colOff>742950</xdr:colOff>
      <xdr:row>28</xdr:row>
      <xdr:rowOff>133350</xdr:rowOff>
    </xdr:to>
    <xdr:sp macro="" textlink="">
      <xdr:nvSpPr>
        <xdr:cNvPr id="6145" name="Text Box 1">
          <a:extLst>
            <a:ext uri="{FF2B5EF4-FFF2-40B4-BE49-F238E27FC236}">
              <a16:creationId xmlns:a16="http://schemas.microsoft.com/office/drawing/2014/main" id="{A535101D-357E-4829-8868-12A382546A74}"/>
            </a:ext>
          </a:extLst>
        </xdr:cNvPr>
        <xdr:cNvSpPr txBox="1">
          <a:spLocks noChangeArrowheads="1"/>
        </xdr:cNvSpPr>
      </xdr:nvSpPr>
      <xdr:spPr bwMode="auto">
        <a:xfrm>
          <a:off x="7553325" y="4295775"/>
          <a:ext cx="628650" cy="4667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Column B is source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35</xdr:row>
      <xdr:rowOff>0</xdr:rowOff>
    </xdr:from>
    <xdr:to>
      <xdr:col>9</xdr:col>
      <xdr:colOff>238125</xdr:colOff>
      <xdr:row>53</xdr:row>
      <xdr:rowOff>104775</xdr:rowOff>
    </xdr:to>
    <xdr:sp macro="" textlink="">
      <xdr:nvSpPr>
        <xdr:cNvPr id="2068" name="Line 1">
          <a:extLst>
            <a:ext uri="{FF2B5EF4-FFF2-40B4-BE49-F238E27FC236}">
              <a16:creationId xmlns:a16="http://schemas.microsoft.com/office/drawing/2014/main" id="{1D9017B3-CC4D-45A1-AF38-17572D5D70A3}"/>
            </a:ext>
          </a:extLst>
        </xdr:cNvPr>
        <xdr:cNvSpPr>
          <a:spLocks noChangeShapeType="1"/>
        </xdr:cNvSpPr>
      </xdr:nvSpPr>
      <xdr:spPr bwMode="auto">
        <a:xfrm flipV="1">
          <a:off x="1533525" y="5734050"/>
          <a:ext cx="3324225" cy="3019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66675</xdr:colOff>
      <xdr:row>50</xdr:row>
      <xdr:rowOff>38100</xdr:rowOff>
    </xdr:from>
    <xdr:to>
      <xdr:col>3</xdr:col>
      <xdr:colOff>66675</xdr:colOff>
      <xdr:row>52</xdr:row>
      <xdr:rowOff>76200</xdr:rowOff>
    </xdr:to>
    <xdr:sp macro="" textlink="">
      <xdr:nvSpPr>
        <xdr:cNvPr id="2069" name="Line 4">
          <a:extLst>
            <a:ext uri="{FF2B5EF4-FFF2-40B4-BE49-F238E27FC236}">
              <a16:creationId xmlns:a16="http://schemas.microsoft.com/office/drawing/2014/main" id="{C453B8D5-01E0-48AD-B14F-B7D5E8777345}"/>
            </a:ext>
          </a:extLst>
        </xdr:cNvPr>
        <xdr:cNvSpPr>
          <a:spLocks noChangeShapeType="1"/>
        </xdr:cNvSpPr>
      </xdr:nvSpPr>
      <xdr:spPr bwMode="auto">
        <a:xfrm flipH="1">
          <a:off x="1600200" y="8201025"/>
          <a:ext cx="0"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85725</xdr:colOff>
      <xdr:row>35</xdr:row>
      <xdr:rowOff>0</xdr:rowOff>
    </xdr:from>
    <xdr:to>
      <xdr:col>8</xdr:col>
      <xdr:colOff>266700</xdr:colOff>
      <xdr:row>51</xdr:row>
      <xdr:rowOff>47625</xdr:rowOff>
    </xdr:to>
    <xdr:sp macro="" textlink="">
      <xdr:nvSpPr>
        <xdr:cNvPr id="2070" name="Line 5">
          <a:extLst>
            <a:ext uri="{FF2B5EF4-FFF2-40B4-BE49-F238E27FC236}">
              <a16:creationId xmlns:a16="http://schemas.microsoft.com/office/drawing/2014/main" id="{7AA428AF-FFF1-461B-9BD0-055EB4502851}"/>
            </a:ext>
          </a:extLst>
        </xdr:cNvPr>
        <xdr:cNvSpPr>
          <a:spLocks noChangeShapeType="1"/>
        </xdr:cNvSpPr>
      </xdr:nvSpPr>
      <xdr:spPr bwMode="auto">
        <a:xfrm flipV="1">
          <a:off x="1619250" y="5734050"/>
          <a:ext cx="2752725" cy="2638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76200</xdr:colOff>
      <xdr:row>47</xdr:row>
      <xdr:rowOff>57150</xdr:rowOff>
    </xdr:from>
    <xdr:to>
      <xdr:col>3</xdr:col>
      <xdr:colOff>76200</xdr:colOff>
      <xdr:row>49</xdr:row>
      <xdr:rowOff>66675</xdr:rowOff>
    </xdr:to>
    <xdr:sp macro="" textlink="">
      <xdr:nvSpPr>
        <xdr:cNvPr id="2071" name="Line 6">
          <a:extLst>
            <a:ext uri="{FF2B5EF4-FFF2-40B4-BE49-F238E27FC236}">
              <a16:creationId xmlns:a16="http://schemas.microsoft.com/office/drawing/2014/main" id="{E8FC8CDD-A95D-4FE0-89C8-AD62A699D306}"/>
            </a:ext>
          </a:extLst>
        </xdr:cNvPr>
        <xdr:cNvSpPr>
          <a:spLocks noChangeShapeType="1"/>
        </xdr:cNvSpPr>
      </xdr:nvSpPr>
      <xdr:spPr bwMode="auto">
        <a:xfrm flipV="1">
          <a:off x="1609725" y="7734300"/>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219075</xdr:colOff>
      <xdr:row>35</xdr:row>
      <xdr:rowOff>0</xdr:rowOff>
    </xdr:from>
    <xdr:to>
      <xdr:col>7</xdr:col>
      <xdr:colOff>228600</xdr:colOff>
      <xdr:row>48</xdr:row>
      <xdr:rowOff>76200</xdr:rowOff>
    </xdr:to>
    <xdr:sp macro="" textlink="">
      <xdr:nvSpPr>
        <xdr:cNvPr id="2072" name="Line 7">
          <a:extLst>
            <a:ext uri="{FF2B5EF4-FFF2-40B4-BE49-F238E27FC236}">
              <a16:creationId xmlns:a16="http://schemas.microsoft.com/office/drawing/2014/main" id="{E1119A30-C066-4763-8602-A5201E8B63AD}"/>
            </a:ext>
          </a:extLst>
        </xdr:cNvPr>
        <xdr:cNvSpPr>
          <a:spLocks noChangeShapeType="1"/>
        </xdr:cNvSpPr>
      </xdr:nvSpPr>
      <xdr:spPr bwMode="auto">
        <a:xfrm flipV="1">
          <a:off x="1752600" y="5734050"/>
          <a:ext cx="2066925" cy="2181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85725</xdr:colOff>
      <xdr:row>44</xdr:row>
      <xdr:rowOff>47625</xdr:rowOff>
    </xdr:from>
    <xdr:to>
      <xdr:col>3</xdr:col>
      <xdr:colOff>85725</xdr:colOff>
      <xdr:row>46</xdr:row>
      <xdr:rowOff>57150</xdr:rowOff>
    </xdr:to>
    <xdr:sp macro="" textlink="">
      <xdr:nvSpPr>
        <xdr:cNvPr id="2073" name="Line 8">
          <a:extLst>
            <a:ext uri="{FF2B5EF4-FFF2-40B4-BE49-F238E27FC236}">
              <a16:creationId xmlns:a16="http://schemas.microsoft.com/office/drawing/2014/main" id="{E33EABA5-7C74-417A-B6FF-54D733635F6A}"/>
            </a:ext>
          </a:extLst>
        </xdr:cNvPr>
        <xdr:cNvSpPr>
          <a:spLocks noChangeShapeType="1"/>
        </xdr:cNvSpPr>
      </xdr:nvSpPr>
      <xdr:spPr bwMode="auto">
        <a:xfrm flipV="1">
          <a:off x="1619250" y="7239000"/>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257175</xdr:colOff>
      <xdr:row>35</xdr:row>
      <xdr:rowOff>0</xdr:rowOff>
    </xdr:from>
    <xdr:to>
      <xdr:col>6</xdr:col>
      <xdr:colOff>400050</xdr:colOff>
      <xdr:row>45</xdr:row>
      <xdr:rowOff>47625</xdr:rowOff>
    </xdr:to>
    <xdr:sp macro="" textlink="">
      <xdr:nvSpPr>
        <xdr:cNvPr id="2074" name="Line 9">
          <a:extLst>
            <a:ext uri="{FF2B5EF4-FFF2-40B4-BE49-F238E27FC236}">
              <a16:creationId xmlns:a16="http://schemas.microsoft.com/office/drawing/2014/main" id="{0DFFA49A-75F7-4DDB-8A8D-4E9486FB763C}"/>
            </a:ext>
          </a:extLst>
        </xdr:cNvPr>
        <xdr:cNvSpPr>
          <a:spLocks noChangeShapeType="1"/>
        </xdr:cNvSpPr>
      </xdr:nvSpPr>
      <xdr:spPr bwMode="auto">
        <a:xfrm flipV="1">
          <a:off x="1790700" y="5734050"/>
          <a:ext cx="1685925" cy="1666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66675</xdr:colOff>
      <xdr:row>41</xdr:row>
      <xdr:rowOff>66675</xdr:rowOff>
    </xdr:from>
    <xdr:to>
      <xdr:col>3</xdr:col>
      <xdr:colOff>66675</xdr:colOff>
      <xdr:row>43</xdr:row>
      <xdr:rowOff>66675</xdr:rowOff>
    </xdr:to>
    <xdr:sp macro="" textlink="">
      <xdr:nvSpPr>
        <xdr:cNvPr id="2075" name="Line 10">
          <a:extLst>
            <a:ext uri="{FF2B5EF4-FFF2-40B4-BE49-F238E27FC236}">
              <a16:creationId xmlns:a16="http://schemas.microsoft.com/office/drawing/2014/main" id="{C95B9C49-4B18-49EF-A70C-A73852B8A95A}"/>
            </a:ext>
          </a:extLst>
        </xdr:cNvPr>
        <xdr:cNvSpPr>
          <a:spLocks noChangeShapeType="1"/>
        </xdr:cNvSpPr>
      </xdr:nvSpPr>
      <xdr:spPr bwMode="auto">
        <a:xfrm flipV="1">
          <a:off x="1600200" y="6772275"/>
          <a:ext cx="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104775</xdr:colOff>
      <xdr:row>35</xdr:row>
      <xdr:rowOff>0</xdr:rowOff>
    </xdr:from>
    <xdr:to>
      <xdr:col>5</xdr:col>
      <xdr:colOff>352425</xdr:colOff>
      <xdr:row>42</xdr:row>
      <xdr:rowOff>104775</xdr:rowOff>
    </xdr:to>
    <xdr:sp macro="" textlink="">
      <xdr:nvSpPr>
        <xdr:cNvPr id="2076" name="Line 11">
          <a:extLst>
            <a:ext uri="{FF2B5EF4-FFF2-40B4-BE49-F238E27FC236}">
              <a16:creationId xmlns:a16="http://schemas.microsoft.com/office/drawing/2014/main" id="{D4D18D5D-BB9F-406D-8A4B-8D128C8BD7CB}"/>
            </a:ext>
          </a:extLst>
        </xdr:cNvPr>
        <xdr:cNvSpPr>
          <a:spLocks noChangeShapeType="1"/>
        </xdr:cNvSpPr>
      </xdr:nvSpPr>
      <xdr:spPr bwMode="auto">
        <a:xfrm flipV="1">
          <a:off x="1638300" y="5734050"/>
          <a:ext cx="1276350" cy="1238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95250</xdr:colOff>
      <xdr:row>38</xdr:row>
      <xdr:rowOff>38100</xdr:rowOff>
    </xdr:from>
    <xdr:to>
      <xdr:col>3</xdr:col>
      <xdr:colOff>95250</xdr:colOff>
      <xdr:row>40</xdr:row>
      <xdr:rowOff>76200</xdr:rowOff>
    </xdr:to>
    <xdr:sp macro="" textlink="">
      <xdr:nvSpPr>
        <xdr:cNvPr id="2077" name="Line 12">
          <a:extLst>
            <a:ext uri="{FF2B5EF4-FFF2-40B4-BE49-F238E27FC236}">
              <a16:creationId xmlns:a16="http://schemas.microsoft.com/office/drawing/2014/main" id="{45773954-3B7B-4D2F-9F96-B508652A856E}"/>
            </a:ext>
          </a:extLst>
        </xdr:cNvPr>
        <xdr:cNvSpPr>
          <a:spLocks noChangeShapeType="1"/>
        </xdr:cNvSpPr>
      </xdr:nvSpPr>
      <xdr:spPr bwMode="auto">
        <a:xfrm flipV="1">
          <a:off x="1628775" y="6257925"/>
          <a:ext cx="0"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0</xdr:rowOff>
    </xdr:from>
    <xdr:to>
      <xdr:col>4</xdr:col>
      <xdr:colOff>371475</xdr:colOff>
      <xdr:row>39</xdr:row>
      <xdr:rowOff>38100</xdr:rowOff>
    </xdr:to>
    <xdr:sp macro="" textlink="">
      <xdr:nvSpPr>
        <xdr:cNvPr id="2078" name="Line 13">
          <a:extLst>
            <a:ext uri="{FF2B5EF4-FFF2-40B4-BE49-F238E27FC236}">
              <a16:creationId xmlns:a16="http://schemas.microsoft.com/office/drawing/2014/main" id="{2F6E1A48-91DB-4098-BDAC-C007AFDD7522}"/>
            </a:ext>
          </a:extLst>
        </xdr:cNvPr>
        <xdr:cNvSpPr>
          <a:spLocks noChangeShapeType="1"/>
        </xdr:cNvSpPr>
      </xdr:nvSpPr>
      <xdr:spPr bwMode="auto">
        <a:xfrm flipV="1">
          <a:off x="1657350" y="5734050"/>
          <a:ext cx="762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95250</xdr:colOff>
      <xdr:row>36</xdr:row>
      <xdr:rowOff>76200</xdr:rowOff>
    </xdr:from>
    <xdr:to>
      <xdr:col>3</xdr:col>
      <xdr:colOff>95250</xdr:colOff>
      <xdr:row>37</xdr:row>
      <xdr:rowOff>28575</xdr:rowOff>
    </xdr:to>
    <xdr:sp macro="" textlink="">
      <xdr:nvSpPr>
        <xdr:cNvPr id="2079" name="Line 15">
          <a:extLst>
            <a:ext uri="{FF2B5EF4-FFF2-40B4-BE49-F238E27FC236}">
              <a16:creationId xmlns:a16="http://schemas.microsoft.com/office/drawing/2014/main" id="{350D9BB5-DE6C-46E9-9D65-41F0FBC6AF19}"/>
            </a:ext>
          </a:extLst>
        </xdr:cNvPr>
        <xdr:cNvSpPr>
          <a:spLocks noChangeShapeType="1"/>
        </xdr:cNvSpPr>
      </xdr:nvSpPr>
      <xdr:spPr bwMode="auto">
        <a:xfrm>
          <a:off x="1628775" y="5972175"/>
          <a:ext cx="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200025</xdr:colOff>
      <xdr:row>35</xdr:row>
      <xdr:rowOff>0</xdr:rowOff>
    </xdr:from>
    <xdr:to>
      <xdr:col>3</xdr:col>
      <xdr:colOff>342900</xdr:colOff>
      <xdr:row>36</xdr:row>
      <xdr:rowOff>123825</xdr:rowOff>
    </xdr:to>
    <xdr:sp macro="" textlink="">
      <xdr:nvSpPr>
        <xdr:cNvPr id="2080" name="Line 16">
          <a:extLst>
            <a:ext uri="{FF2B5EF4-FFF2-40B4-BE49-F238E27FC236}">
              <a16:creationId xmlns:a16="http://schemas.microsoft.com/office/drawing/2014/main" id="{697D600D-E10F-4B77-A855-BD9ECFF32F4F}"/>
            </a:ext>
          </a:extLst>
        </xdr:cNvPr>
        <xdr:cNvSpPr>
          <a:spLocks noChangeShapeType="1"/>
        </xdr:cNvSpPr>
      </xdr:nvSpPr>
      <xdr:spPr bwMode="auto">
        <a:xfrm flipV="1">
          <a:off x="1733550" y="5734050"/>
          <a:ext cx="142875"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18</xdr:row>
      <xdr:rowOff>0</xdr:rowOff>
    </xdr:from>
    <xdr:to>
      <xdr:col>10</xdr:col>
      <xdr:colOff>0</xdr:colOff>
      <xdr:row>18</xdr:row>
      <xdr:rowOff>0</xdr:rowOff>
    </xdr:to>
    <xdr:sp macro="" textlink="">
      <xdr:nvSpPr>
        <xdr:cNvPr id="9217" name="Text Box 1">
          <a:extLst>
            <a:ext uri="{FF2B5EF4-FFF2-40B4-BE49-F238E27FC236}">
              <a16:creationId xmlns:a16="http://schemas.microsoft.com/office/drawing/2014/main" id="{138224EE-9D1E-4FFB-A1D7-6437A7EE5AD4}"/>
            </a:ext>
          </a:extLst>
        </xdr:cNvPr>
        <xdr:cNvSpPr txBox="1">
          <a:spLocks noChangeArrowheads="1"/>
        </xdr:cNvSpPr>
      </xdr:nvSpPr>
      <xdr:spPr bwMode="auto">
        <a:xfrm>
          <a:off x="17554575" y="479107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Column B is source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7"/>
  <sheetViews>
    <sheetView workbookViewId="0">
      <selection activeCell="I20" sqref="I20"/>
    </sheetView>
  </sheetViews>
  <sheetFormatPr defaultRowHeight="12.75" x14ac:dyDescent="0.2"/>
  <cols>
    <col min="8" max="8" width="11.28515625" bestFit="1" customWidth="1"/>
  </cols>
  <sheetData>
    <row r="3" spans="2:9" x14ac:dyDescent="0.2">
      <c r="B3" t="s">
        <v>209</v>
      </c>
      <c r="D3" t="s">
        <v>207</v>
      </c>
      <c r="H3" t="s">
        <v>199</v>
      </c>
    </row>
    <row r="4" spans="2:9" x14ac:dyDescent="0.2">
      <c r="B4" t="s">
        <v>205</v>
      </c>
      <c r="D4" t="s">
        <v>208</v>
      </c>
      <c r="H4" t="s">
        <v>153</v>
      </c>
      <c r="I4" t="s">
        <v>252</v>
      </c>
    </row>
    <row r="8" spans="2:9" x14ac:dyDescent="0.2"/>
    <row r="13" spans="2:9" x14ac:dyDescent="0.2">
      <c r="B13" t="s">
        <v>209</v>
      </c>
    </row>
    <row r="14" spans="2:9" x14ac:dyDescent="0.2">
      <c r="B14" t="s">
        <v>205</v>
      </c>
      <c r="F14" t="s">
        <v>36</v>
      </c>
      <c r="H14" t="s">
        <v>252</v>
      </c>
    </row>
    <row r="15" spans="2:9" x14ac:dyDescent="0.2">
      <c r="D15" t="s">
        <v>252</v>
      </c>
      <c r="F15" t="s">
        <v>253</v>
      </c>
    </row>
    <row r="16" spans="2:9" x14ac:dyDescent="0.2">
      <c r="F16" t="s">
        <v>38</v>
      </c>
    </row>
    <row r="20" spans="7:8" x14ac:dyDescent="0.2">
      <c r="G20" s="44" t="s">
        <v>307</v>
      </c>
      <c r="H20" s="512">
        <v>6.08E-2</v>
      </c>
    </row>
    <row r="21" spans="7:8" x14ac:dyDescent="0.2">
      <c r="G21" s="44" t="s">
        <v>205</v>
      </c>
      <c r="H21" s="513">
        <v>1568</v>
      </c>
    </row>
    <row r="22" spans="7:8" x14ac:dyDescent="0.2">
      <c r="G22" s="44" t="s">
        <v>127</v>
      </c>
      <c r="H22" s="514">
        <v>65</v>
      </c>
    </row>
    <row r="23" spans="7:8" x14ac:dyDescent="0.2">
      <c r="G23" s="44" t="s">
        <v>308</v>
      </c>
      <c r="H23" s="514">
        <v>89</v>
      </c>
    </row>
    <row r="24" spans="7:8" x14ac:dyDescent="0.2">
      <c r="G24" s="44" t="s">
        <v>309</v>
      </c>
      <c r="H24" s="514">
        <v>0</v>
      </c>
    </row>
    <row r="26" spans="7:8" ht="13.5" thickBot="1" x14ac:dyDescent="0.25">
      <c r="G26" s="511" t="s">
        <v>526</v>
      </c>
      <c r="H26" s="158">
        <f>((H21*(1-(1+H20)^(-1*(H23-H22))))/H20)-((H21*(1-(1+H20)^(-1*(H24))))/H20)</f>
        <v>19534.31669905259</v>
      </c>
    </row>
    <row r="27" spans="7:8" ht="13.5" thickTop="1" x14ac:dyDescent="0.2"/>
  </sheetData>
  <phoneticPr fontId="0" type="noConversion"/>
  <pageMargins left="0.75" right="0.75" top="1" bottom="1" header="0.5" footer="0.5"/>
  <pageSetup orientation="portrait" cellComments="asDisplayed" horizontalDpi="4294967293" verticalDpi="0" r:id="rId1"/>
  <headerFooter alignWithMargins="0">
    <oddHeader>&amp;CAPPENDIX x
Net Present Value Formula</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7"/>
  <sheetViews>
    <sheetView workbookViewId="0">
      <selection activeCell="D15" sqref="D15"/>
    </sheetView>
  </sheetViews>
  <sheetFormatPr defaultRowHeight="12.75" x14ac:dyDescent="0.2"/>
  <cols>
    <col min="1" max="1" width="4.42578125" customWidth="1"/>
    <col min="2" max="2" width="3.7109375" customWidth="1"/>
    <col min="3" max="3" width="42.28515625" customWidth="1"/>
    <col min="4" max="4" width="88.85546875" style="46" customWidth="1"/>
    <col min="5" max="5" width="12" customWidth="1"/>
    <col min="6" max="6" width="6.5703125" customWidth="1"/>
    <col min="7" max="7" width="12.85546875" customWidth="1"/>
    <col min="8" max="9" width="12.5703125" customWidth="1"/>
    <col min="10" max="10" width="14.85546875" customWidth="1"/>
  </cols>
  <sheetData>
    <row r="1" spans="1:10" ht="15" x14ac:dyDescent="0.2">
      <c r="A1" s="470"/>
      <c r="B1" s="470"/>
      <c r="C1" s="470"/>
      <c r="D1" s="471"/>
      <c r="E1" s="436"/>
      <c r="G1" s="436"/>
      <c r="H1" s="436"/>
      <c r="I1" s="436"/>
      <c r="J1" s="436"/>
    </row>
    <row r="2" spans="1:10" ht="15" x14ac:dyDescent="0.2">
      <c r="A2" s="470" t="s">
        <v>285</v>
      </c>
      <c r="B2" s="470"/>
      <c r="C2" s="470"/>
      <c r="D2" s="471"/>
      <c r="E2" s="436"/>
      <c r="G2" s="436"/>
      <c r="H2" s="436"/>
      <c r="I2" s="436"/>
      <c r="J2" s="436"/>
    </row>
    <row r="3" spans="1:10" ht="15" x14ac:dyDescent="0.2">
      <c r="A3" s="470"/>
      <c r="B3" s="470"/>
      <c r="C3" s="470"/>
      <c r="D3" s="472"/>
      <c r="F3" s="65"/>
    </row>
    <row r="4" spans="1:10" ht="15.75" x14ac:dyDescent="0.25">
      <c r="A4" s="473" t="s">
        <v>293</v>
      </c>
      <c r="B4" s="470"/>
      <c r="C4" s="474"/>
      <c r="D4" s="471"/>
      <c r="J4" s="66"/>
    </row>
    <row r="5" spans="1:10" ht="15" x14ac:dyDescent="0.2">
      <c r="A5" s="475">
        <v>1</v>
      </c>
      <c r="B5" s="475"/>
      <c r="C5" s="476" t="s">
        <v>192</v>
      </c>
      <c r="D5" s="477" t="s">
        <v>312</v>
      </c>
      <c r="E5" s="458"/>
      <c r="F5" s="458"/>
      <c r="G5" s="458"/>
      <c r="H5" s="458"/>
      <c r="I5" s="458"/>
      <c r="J5" s="458"/>
    </row>
    <row r="6" spans="1:10" ht="30" x14ac:dyDescent="0.2">
      <c r="A6" s="475">
        <v>2</v>
      </c>
      <c r="B6" s="475"/>
      <c r="C6" s="476" t="s">
        <v>288</v>
      </c>
      <c r="D6" s="477" t="s">
        <v>313</v>
      </c>
      <c r="E6" s="459"/>
      <c r="F6" s="459"/>
      <c r="G6" s="459"/>
      <c r="H6" s="459"/>
      <c r="I6" s="459"/>
      <c r="J6" s="459"/>
    </row>
    <row r="7" spans="1:10" ht="60" x14ac:dyDescent="0.2">
      <c r="A7" s="475">
        <v>3</v>
      </c>
      <c r="B7" s="475"/>
      <c r="C7" s="475" t="s">
        <v>289</v>
      </c>
      <c r="D7" s="477" t="s">
        <v>314</v>
      </c>
      <c r="E7" s="459"/>
      <c r="F7" s="459"/>
      <c r="G7" s="459"/>
      <c r="H7" s="459"/>
      <c r="I7" s="459"/>
      <c r="J7" s="459"/>
    </row>
    <row r="8" spans="1:10" ht="15" x14ac:dyDescent="0.2">
      <c r="A8" s="475">
        <v>4</v>
      </c>
      <c r="B8" s="475"/>
      <c r="C8" s="475" t="s">
        <v>283</v>
      </c>
      <c r="D8" s="477" t="s">
        <v>315</v>
      </c>
      <c r="E8" s="458"/>
      <c r="F8" s="458"/>
      <c r="G8" s="458"/>
      <c r="H8" s="458"/>
      <c r="I8" s="458"/>
      <c r="J8" s="458"/>
    </row>
    <row r="9" spans="1:10" ht="15" x14ac:dyDescent="0.2">
      <c r="A9" s="475">
        <v>5</v>
      </c>
      <c r="B9" s="475"/>
      <c r="C9" s="478">
        <f>SUM(E6:E7)</f>
        <v>0</v>
      </c>
      <c r="D9" s="477"/>
      <c r="E9" s="460"/>
      <c r="F9" s="458"/>
      <c r="G9" s="460"/>
      <c r="H9" s="460"/>
      <c r="I9" s="460"/>
      <c r="J9" s="460"/>
    </row>
    <row r="10" spans="1:10" ht="15.75" x14ac:dyDescent="0.2">
      <c r="A10" s="479" t="s">
        <v>302</v>
      </c>
      <c r="B10" s="475"/>
      <c r="C10" s="475"/>
      <c r="D10" s="477"/>
      <c r="E10" s="458"/>
      <c r="F10" s="458"/>
      <c r="G10" s="458"/>
      <c r="H10" s="458"/>
      <c r="I10" s="458"/>
      <c r="J10" s="458"/>
    </row>
    <row r="11" spans="1:10" ht="15" x14ac:dyDescent="0.2">
      <c r="A11" s="475">
        <v>6</v>
      </c>
      <c r="B11" s="475"/>
      <c r="C11" s="476" t="s">
        <v>192</v>
      </c>
      <c r="D11" s="477" t="s">
        <v>312</v>
      </c>
      <c r="E11" s="458"/>
      <c r="F11" s="458"/>
      <c r="G11" s="458"/>
      <c r="H11" s="458"/>
      <c r="I11" s="458"/>
      <c r="J11" s="458"/>
    </row>
    <row r="12" spans="1:10" ht="45" x14ac:dyDescent="0.2">
      <c r="A12" s="475">
        <v>7</v>
      </c>
      <c r="B12" s="475"/>
      <c r="C12" s="476" t="s">
        <v>237</v>
      </c>
      <c r="D12" s="477" t="s">
        <v>527</v>
      </c>
      <c r="E12" s="459"/>
      <c r="F12" s="459"/>
      <c r="G12" s="461"/>
      <c r="H12" s="459"/>
      <c r="I12" s="459"/>
      <c r="J12" s="459"/>
    </row>
    <row r="13" spans="1:10" ht="60" x14ac:dyDescent="0.2">
      <c r="A13" s="475">
        <v>8</v>
      </c>
      <c r="B13" s="475"/>
      <c r="C13" s="475" t="s">
        <v>289</v>
      </c>
      <c r="D13" s="477" t="s">
        <v>314</v>
      </c>
      <c r="E13" s="459"/>
      <c r="F13" s="459"/>
      <c r="G13" s="459"/>
      <c r="H13" s="459"/>
      <c r="I13" s="459"/>
      <c r="J13" s="459"/>
    </row>
    <row r="14" spans="1:10" ht="15.75" x14ac:dyDescent="0.2">
      <c r="A14" s="475">
        <v>9</v>
      </c>
      <c r="B14" s="475"/>
      <c r="C14" s="475" t="s">
        <v>317</v>
      </c>
      <c r="D14" s="477" t="s">
        <v>528</v>
      </c>
      <c r="E14" s="458"/>
      <c r="F14" s="458"/>
      <c r="G14" s="458"/>
      <c r="H14" s="458"/>
      <c r="I14" s="458"/>
      <c r="J14" s="458"/>
    </row>
    <row r="15" spans="1:10" ht="30" x14ac:dyDescent="0.2">
      <c r="A15" s="475">
        <v>10</v>
      </c>
      <c r="B15" s="475"/>
      <c r="C15" s="480" t="s">
        <v>255</v>
      </c>
      <c r="D15" s="477" t="s">
        <v>316</v>
      </c>
      <c r="E15" s="462"/>
      <c r="F15" s="372"/>
      <c r="G15" s="462"/>
      <c r="H15" s="462"/>
      <c r="I15" s="462"/>
      <c r="J15" s="462"/>
    </row>
    <row r="16" spans="1:10" ht="15.75" x14ac:dyDescent="0.2">
      <c r="A16" s="475">
        <v>11</v>
      </c>
      <c r="B16" s="475"/>
      <c r="C16" s="480" t="s">
        <v>256</v>
      </c>
      <c r="D16" s="481"/>
      <c r="E16" s="464"/>
      <c r="F16" s="372"/>
      <c r="G16" s="464"/>
      <c r="H16" s="464"/>
      <c r="I16" s="464"/>
      <c r="J16" s="464"/>
    </row>
    <row r="17" spans="1:10" ht="15.75" x14ac:dyDescent="0.2">
      <c r="A17" s="475"/>
      <c r="B17" s="475"/>
      <c r="C17" s="480"/>
      <c r="D17" s="481"/>
      <c r="E17" s="463"/>
      <c r="F17" s="372"/>
      <c r="G17" s="323"/>
      <c r="H17" s="463"/>
      <c r="I17" s="463"/>
      <c r="J17" s="463"/>
    </row>
    <row r="18" spans="1:10" ht="15" x14ac:dyDescent="0.2">
      <c r="A18" s="475"/>
      <c r="B18" s="475"/>
      <c r="C18" s="476"/>
      <c r="D18" s="482"/>
      <c r="E18" s="465"/>
      <c r="F18" s="466"/>
      <c r="G18" s="465"/>
      <c r="H18" s="465"/>
      <c r="I18" s="465"/>
      <c r="J18" s="465"/>
    </row>
    <row r="19" spans="1:10" x14ac:dyDescent="0.2">
      <c r="A19" s="467"/>
      <c r="B19" s="467"/>
      <c r="C19" s="467"/>
      <c r="D19" s="469"/>
      <c r="E19" s="323"/>
      <c r="F19" s="323"/>
      <c r="G19" s="323"/>
      <c r="H19" s="323"/>
      <c r="I19" s="323"/>
      <c r="J19" s="323"/>
    </row>
    <row r="20" spans="1:10" x14ac:dyDescent="0.2">
      <c r="A20" s="467"/>
      <c r="B20" s="467"/>
      <c r="C20" s="467"/>
      <c r="D20" s="468"/>
      <c r="E20" s="61"/>
      <c r="F20" s="61"/>
      <c r="G20" s="323"/>
      <c r="H20" s="323"/>
      <c r="I20" s="323"/>
      <c r="J20" s="323"/>
    </row>
    <row r="21" spans="1:10" x14ac:dyDescent="0.2">
      <c r="A21" s="467"/>
      <c r="B21" s="467"/>
      <c r="C21" s="467"/>
      <c r="D21" s="468"/>
      <c r="E21" s="323"/>
      <c r="F21" s="323"/>
      <c r="G21" s="323"/>
      <c r="H21" s="323"/>
      <c r="I21" s="323"/>
      <c r="J21" s="323"/>
    </row>
    <row r="22" spans="1:10" x14ac:dyDescent="0.2">
      <c r="A22" s="467"/>
      <c r="B22" s="467"/>
      <c r="C22" s="467"/>
      <c r="D22" s="468"/>
      <c r="E22" s="323"/>
      <c r="F22" s="323"/>
      <c r="G22" s="323"/>
      <c r="H22" s="323"/>
      <c r="I22" s="323"/>
      <c r="J22" s="323"/>
    </row>
    <row r="23" spans="1:10" x14ac:dyDescent="0.2">
      <c r="A23" s="467"/>
      <c r="B23" s="467"/>
      <c r="C23" s="467"/>
      <c r="D23" s="468"/>
      <c r="E23" s="323"/>
      <c r="F23" s="323"/>
      <c r="G23" s="323"/>
      <c r="H23" s="323"/>
      <c r="I23" s="323"/>
      <c r="J23" s="323"/>
    </row>
    <row r="24" spans="1:10" x14ac:dyDescent="0.2">
      <c r="A24" s="467"/>
      <c r="B24" s="467"/>
      <c r="C24" s="467"/>
      <c r="D24" s="468"/>
      <c r="E24" s="323"/>
      <c r="F24" s="323"/>
      <c r="G24" s="323"/>
      <c r="H24" s="323"/>
      <c r="I24" s="323"/>
      <c r="J24" s="323"/>
    </row>
    <row r="25" spans="1:10" x14ac:dyDescent="0.2">
      <c r="A25" s="467"/>
      <c r="B25" s="467"/>
      <c r="C25" s="467"/>
      <c r="D25" s="468"/>
      <c r="E25" s="323"/>
      <c r="F25" s="323"/>
      <c r="G25" s="323"/>
      <c r="H25" s="323"/>
      <c r="I25" s="323"/>
      <c r="J25" s="323"/>
    </row>
    <row r="26" spans="1:10" x14ac:dyDescent="0.2">
      <c r="A26" s="467"/>
      <c r="B26" s="467"/>
      <c r="C26" s="467"/>
      <c r="D26" s="468"/>
      <c r="E26" s="323"/>
      <c r="F26" s="323"/>
      <c r="G26" s="323"/>
      <c r="H26" s="323"/>
      <c r="I26" s="323"/>
      <c r="J26" s="323"/>
    </row>
    <row r="27" spans="1:10" x14ac:dyDescent="0.2">
      <c r="A27" s="467"/>
      <c r="B27" s="467"/>
      <c r="C27" s="467"/>
      <c r="D27" s="468"/>
      <c r="E27" s="323"/>
      <c r="F27" s="323"/>
      <c r="G27" s="323"/>
      <c r="H27" s="323"/>
      <c r="I27" s="323"/>
      <c r="J27" s="323"/>
    </row>
    <row r="28" spans="1:10" x14ac:dyDescent="0.2">
      <c r="E28" s="323"/>
      <c r="F28" s="323"/>
      <c r="G28" s="323"/>
      <c r="H28" s="323"/>
      <c r="I28" s="323"/>
      <c r="J28" s="323"/>
    </row>
    <row r="29" spans="1:10" x14ac:dyDescent="0.2">
      <c r="E29" s="323"/>
      <c r="F29" s="323"/>
      <c r="G29" s="323"/>
      <c r="H29" s="323"/>
      <c r="I29" s="323"/>
      <c r="J29" s="323"/>
    </row>
    <row r="30" spans="1:10" x14ac:dyDescent="0.2">
      <c r="E30" s="323"/>
      <c r="F30" s="323"/>
      <c r="G30" s="323"/>
      <c r="H30" s="323"/>
      <c r="I30" s="323"/>
      <c r="J30" s="323"/>
    </row>
    <row r="31" spans="1:10" x14ac:dyDescent="0.2">
      <c r="E31" s="323"/>
      <c r="F31" s="323"/>
      <c r="G31" s="323"/>
      <c r="H31" s="323"/>
      <c r="I31" s="323"/>
      <c r="J31" s="323"/>
    </row>
    <row r="32" spans="1:10" x14ac:dyDescent="0.2">
      <c r="E32" s="323"/>
      <c r="F32" s="323"/>
      <c r="G32" s="323"/>
      <c r="H32" s="323"/>
      <c r="I32" s="323"/>
      <c r="J32" s="323"/>
    </row>
    <row r="33" spans="5:10" x14ac:dyDescent="0.2">
      <c r="E33" s="323"/>
      <c r="F33" s="323"/>
      <c r="G33" s="323"/>
      <c r="H33" s="323"/>
      <c r="I33" s="323"/>
      <c r="J33" s="323"/>
    </row>
    <row r="34" spans="5:10" x14ac:dyDescent="0.2">
      <c r="E34" s="323"/>
      <c r="F34" s="323"/>
      <c r="G34" s="323"/>
      <c r="H34" s="323"/>
      <c r="I34" s="323"/>
      <c r="J34" s="323"/>
    </row>
    <row r="35" spans="5:10" x14ac:dyDescent="0.2">
      <c r="E35" s="323"/>
      <c r="F35" s="323"/>
      <c r="G35" s="323"/>
      <c r="H35" s="323"/>
      <c r="I35" s="323"/>
      <c r="J35" s="323"/>
    </row>
    <row r="36" spans="5:10" x14ac:dyDescent="0.2">
      <c r="E36" s="323"/>
      <c r="F36" s="323"/>
      <c r="G36" s="323"/>
      <c r="H36" s="323"/>
      <c r="I36" s="323"/>
      <c r="J36" s="323"/>
    </row>
    <row r="37" spans="5:10" x14ac:dyDescent="0.2">
      <c r="E37" s="323"/>
      <c r="F37" s="323"/>
      <c r="G37" s="323"/>
      <c r="H37" s="323"/>
      <c r="I37" s="323"/>
      <c r="J37" s="323"/>
    </row>
    <row r="38" spans="5:10" x14ac:dyDescent="0.2">
      <c r="E38" s="323"/>
      <c r="F38" s="323"/>
      <c r="G38" s="323"/>
      <c r="H38" s="323"/>
      <c r="I38" s="323"/>
      <c r="J38" s="323"/>
    </row>
    <row r="39" spans="5:10" x14ac:dyDescent="0.2">
      <c r="E39" s="323"/>
      <c r="F39" s="323"/>
      <c r="G39" s="323"/>
      <c r="H39" s="323"/>
      <c r="I39" s="323"/>
      <c r="J39" s="323"/>
    </row>
    <row r="40" spans="5:10" x14ac:dyDescent="0.2">
      <c r="E40" s="323"/>
      <c r="F40" s="323"/>
      <c r="G40" s="323"/>
      <c r="H40" s="323"/>
      <c r="I40" s="323"/>
      <c r="J40" s="323"/>
    </row>
    <row r="41" spans="5:10" x14ac:dyDescent="0.2">
      <c r="E41" s="323"/>
      <c r="F41" s="323"/>
      <c r="G41" s="323"/>
      <c r="H41" s="323"/>
      <c r="I41" s="323"/>
      <c r="J41" s="323"/>
    </row>
    <row r="42" spans="5:10" x14ac:dyDescent="0.2">
      <c r="E42" s="323"/>
      <c r="F42" s="323"/>
      <c r="G42" s="323"/>
      <c r="H42" s="323"/>
      <c r="I42" s="323"/>
      <c r="J42" s="323"/>
    </row>
    <row r="43" spans="5:10" x14ac:dyDescent="0.2">
      <c r="E43" s="323"/>
      <c r="F43" s="323"/>
      <c r="G43" s="323"/>
      <c r="H43" s="323"/>
      <c r="I43" s="323"/>
      <c r="J43" s="323"/>
    </row>
    <row r="44" spans="5:10" x14ac:dyDescent="0.2">
      <c r="E44" s="323"/>
      <c r="F44" s="323"/>
      <c r="G44" s="323"/>
      <c r="H44" s="323"/>
      <c r="I44" s="323"/>
      <c r="J44" s="323"/>
    </row>
    <row r="45" spans="5:10" x14ac:dyDescent="0.2">
      <c r="E45" s="323"/>
      <c r="F45" s="323"/>
      <c r="G45" s="323"/>
      <c r="H45" s="323"/>
      <c r="I45" s="323"/>
      <c r="J45" s="323"/>
    </row>
    <row r="46" spans="5:10" x14ac:dyDescent="0.2">
      <c r="E46" s="323"/>
      <c r="F46" s="323"/>
      <c r="G46" s="323"/>
      <c r="H46" s="323"/>
      <c r="I46" s="323"/>
      <c r="J46" s="323"/>
    </row>
    <row r="47" spans="5:10" x14ac:dyDescent="0.2">
      <c r="E47" s="323"/>
      <c r="F47" s="323"/>
      <c r="G47" s="323"/>
      <c r="H47" s="323"/>
      <c r="I47" s="323"/>
      <c r="J47" s="323"/>
    </row>
  </sheetData>
  <phoneticPr fontId="0" type="noConversion"/>
  <pageMargins left="0.5" right="0.25" top="0.5" bottom="0.75" header="0.25" footer="0.5"/>
  <pageSetup scale="90" orientation="landscape" r:id="rId1"/>
  <headerFooter alignWithMargins="0">
    <oddHeader>&amp;C Legend - Appendix A</oddHeader>
    <oddFooter>&amp;CPage x
Legend - Appendix 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8"/>
  <sheetViews>
    <sheetView tabSelected="1" workbookViewId="0">
      <selection activeCell="C10" sqref="C10"/>
    </sheetView>
  </sheetViews>
  <sheetFormatPr defaultRowHeight="12.75" x14ac:dyDescent="0.2"/>
  <cols>
    <col min="1" max="1" width="2.7109375" customWidth="1"/>
    <col min="2" max="2" width="3.7109375" customWidth="1"/>
    <col min="3" max="3" width="23.7109375" customWidth="1"/>
    <col min="4" max="4" width="7.28515625" customWidth="1"/>
    <col min="5" max="5" width="12" customWidth="1"/>
    <col min="6" max="6" width="6.5703125" customWidth="1"/>
    <col min="7" max="7" width="12.85546875" customWidth="1"/>
    <col min="8" max="9" width="12.5703125" customWidth="1"/>
    <col min="10" max="10" width="14.85546875" customWidth="1"/>
    <col min="11" max="11" width="2.7109375" customWidth="1"/>
    <col min="12" max="13" width="12.7109375" customWidth="1"/>
    <col min="14" max="14" width="2.7109375" customWidth="1"/>
    <col min="15" max="16" width="11.85546875" customWidth="1"/>
    <col min="17" max="17" width="13" style="37" customWidth="1"/>
  </cols>
  <sheetData>
    <row r="1" spans="1:17" ht="13.5" thickBot="1" x14ac:dyDescent="0.25">
      <c r="E1" s="436" t="s">
        <v>218</v>
      </c>
      <c r="G1" s="436" t="s">
        <v>219</v>
      </c>
      <c r="H1" s="436" t="s">
        <v>220</v>
      </c>
      <c r="I1" s="436" t="s">
        <v>221</v>
      </c>
      <c r="J1" s="436" t="s">
        <v>222</v>
      </c>
      <c r="K1" s="436"/>
      <c r="L1" s="436" t="s">
        <v>211</v>
      </c>
      <c r="M1" s="436" t="s">
        <v>223</v>
      </c>
    </row>
    <row r="2" spans="1:17" ht="13.5" thickBot="1" x14ac:dyDescent="0.25">
      <c r="A2" s="510" t="s">
        <v>523</v>
      </c>
      <c r="E2" s="436"/>
      <c r="G2" s="436"/>
      <c r="H2" s="436"/>
      <c r="I2" s="436"/>
      <c r="J2" s="436"/>
      <c r="L2" s="160" t="s">
        <v>269</v>
      </c>
    </row>
    <row r="3" spans="1:17" ht="13.5" thickBot="1" x14ac:dyDescent="0.25">
      <c r="D3" s="65" t="s">
        <v>234</v>
      </c>
      <c r="F3" s="65" t="s">
        <v>235</v>
      </c>
      <c r="L3" s="435">
        <v>54.9</v>
      </c>
      <c r="M3" s="160" t="s">
        <v>264</v>
      </c>
    </row>
    <row r="4" spans="1:17" s="44" customFormat="1" ht="13.5" thickBot="1" x14ac:dyDescent="0.25">
      <c r="C4" s="179"/>
      <c r="D4" s="151" t="s">
        <v>114</v>
      </c>
      <c r="E4" s="152" t="s">
        <v>233</v>
      </c>
      <c r="F4" s="152" t="s">
        <v>114</v>
      </c>
      <c r="G4" s="152" t="s">
        <v>236</v>
      </c>
      <c r="H4" s="152" t="s">
        <v>193</v>
      </c>
      <c r="I4" s="152" t="s">
        <v>194</v>
      </c>
      <c r="J4" s="153" t="s">
        <v>232</v>
      </c>
      <c r="L4" s="161" t="s">
        <v>296</v>
      </c>
      <c r="M4" s="161" t="s">
        <v>240</v>
      </c>
      <c r="N4" s="69"/>
      <c r="Q4" s="69"/>
    </row>
    <row r="5" spans="1:17" x14ac:dyDescent="0.2">
      <c r="A5" s="300" t="s">
        <v>293</v>
      </c>
      <c r="C5" s="70"/>
      <c r="J5" s="66"/>
      <c r="K5" s="66"/>
      <c r="L5" s="66"/>
      <c r="M5" s="66"/>
      <c r="N5" s="37"/>
    </row>
    <row r="6" spans="1:17" x14ac:dyDescent="0.2">
      <c r="A6">
        <v>1</v>
      </c>
      <c r="C6" s="70" t="s">
        <v>192</v>
      </c>
      <c r="E6" s="74">
        <f>ROUND(17721142,-3)</f>
        <v>17721000</v>
      </c>
      <c r="F6" s="74"/>
      <c r="G6" s="74">
        <f>ROUND(16568337,-3)</f>
        <v>16568000</v>
      </c>
      <c r="H6" s="74">
        <f>ROUND(16568337,-3)</f>
        <v>16568000</v>
      </c>
      <c r="I6" s="74">
        <f>ROUND(16568337,-3)</f>
        <v>16568000</v>
      </c>
      <c r="J6" s="74">
        <f>ROUND(16568337,-3)</f>
        <v>16568000</v>
      </c>
      <c r="K6" s="66"/>
      <c r="L6" s="74"/>
      <c r="M6" s="74">
        <f>ROUND(16568337,-3)</f>
        <v>16568000</v>
      </c>
      <c r="N6" s="37"/>
    </row>
    <row r="7" spans="1:17" x14ac:dyDescent="0.2">
      <c r="A7">
        <v>2</v>
      </c>
      <c r="C7" s="70" t="s">
        <v>288</v>
      </c>
      <c r="E7" s="502">
        <v>-16715859.96281931</v>
      </c>
      <c r="F7" s="156"/>
      <c r="G7" s="156">
        <f>ROUND(-'Detail_01-02'!V231,-3)</f>
        <v>-20238000</v>
      </c>
      <c r="H7" s="156">
        <f>ROUND(-'Detail_01-02'!AA231,-3)</f>
        <v>-18143000</v>
      </c>
      <c r="I7" s="156">
        <f>ROUND(-'Detail_01-02'!AB231,-3)</f>
        <v>-19768000</v>
      </c>
      <c r="J7" s="156">
        <f>ROUND(-'Detail_01-02'!AC231,-3)</f>
        <v>-18635000</v>
      </c>
      <c r="K7" s="66"/>
      <c r="L7" s="157"/>
      <c r="M7" s="157">
        <f>ROUND(-'Detail_01-02'!AH231,-3)</f>
        <v>-33104000</v>
      </c>
      <c r="N7" s="37"/>
    </row>
    <row r="8" spans="1:17" x14ac:dyDescent="0.2">
      <c r="A8">
        <v>3</v>
      </c>
      <c r="C8" t="s">
        <v>289</v>
      </c>
      <c r="D8" s="179"/>
      <c r="E8" s="156">
        <f>E7*E37</f>
        <v>3577633.9628193094</v>
      </c>
      <c r="F8" s="156"/>
      <c r="G8" s="156">
        <f>ROUND(G7*G37,-3)</f>
        <v>4331000</v>
      </c>
      <c r="H8" s="156">
        <f>ROUND(H7*H37,-3)</f>
        <v>3883000</v>
      </c>
      <c r="I8" s="156">
        <f>ROUND(I7*I37,-3)</f>
        <v>4231000</v>
      </c>
      <c r="J8" s="156">
        <f>ROUND(J7*J37,-3)</f>
        <v>3988000</v>
      </c>
      <c r="K8" s="66"/>
      <c r="L8" s="156"/>
      <c r="M8" s="156">
        <f>ROUND(M7*M37,-3)</f>
        <v>7085000</v>
      </c>
      <c r="N8" s="37"/>
    </row>
    <row r="9" spans="1:17" ht="13.5" thickBot="1" x14ac:dyDescent="0.25">
      <c r="A9">
        <v>4</v>
      </c>
      <c r="C9" t="s">
        <v>283</v>
      </c>
      <c r="E9" s="158">
        <f>SUM(E6:E8)</f>
        <v>4582774</v>
      </c>
      <c r="F9" s="234"/>
      <c r="G9" s="158">
        <f t="shared" ref="G9:M9" si="0">SUM(G6:G8)</f>
        <v>661000</v>
      </c>
      <c r="H9" s="158">
        <f t="shared" si="0"/>
        <v>2308000</v>
      </c>
      <c r="I9" s="158">
        <f t="shared" si="0"/>
        <v>1031000</v>
      </c>
      <c r="J9" s="158">
        <f t="shared" si="0"/>
        <v>1921000</v>
      </c>
      <c r="K9" s="66"/>
      <c r="L9" s="158">
        <f>SUM(L6:L8)</f>
        <v>0</v>
      </c>
      <c r="M9" s="158">
        <f t="shared" si="0"/>
        <v>-9451000</v>
      </c>
      <c r="N9" s="37"/>
    </row>
    <row r="10" spans="1:17" ht="13.5" thickTop="1" x14ac:dyDescent="0.2">
      <c r="A10">
        <v>5</v>
      </c>
      <c r="C10" s="179"/>
      <c r="E10" s="383">
        <f>-E6/SUM(E7:E8)</f>
        <v>1.3488122369032167</v>
      </c>
      <c r="F10" s="234"/>
      <c r="G10" s="383">
        <f>-G6/SUM(G7:G8)</f>
        <v>1.0415540328157415</v>
      </c>
      <c r="H10" s="383">
        <f>-H6/SUM(H7:H8)</f>
        <v>1.1618513323983171</v>
      </c>
      <c r="I10" s="383">
        <f>-I6/SUM(I7:I8)</f>
        <v>1.0663577267168693</v>
      </c>
      <c r="J10" s="383">
        <f>-J6/SUM(J7:J8)</f>
        <v>1.1311531371611934</v>
      </c>
      <c r="K10" s="66"/>
      <c r="L10" s="234"/>
      <c r="M10" s="383">
        <f>-M6/SUM(M7:M8)</f>
        <v>0.63676544063953266</v>
      </c>
      <c r="N10" s="37"/>
    </row>
    <row r="11" spans="1:17" x14ac:dyDescent="0.2">
      <c r="A11" s="300" t="s">
        <v>319</v>
      </c>
      <c r="E11" s="234"/>
      <c r="F11" s="234"/>
      <c r="G11" s="234"/>
      <c r="H11" s="234"/>
      <c r="I11" s="234"/>
      <c r="J11" s="234"/>
      <c r="K11" s="66"/>
      <c r="L11" s="234"/>
      <c r="M11" s="234"/>
      <c r="N11" s="37"/>
    </row>
    <row r="12" spans="1:17" x14ac:dyDescent="0.2">
      <c r="A12">
        <v>6</v>
      </c>
      <c r="C12" s="70" t="s">
        <v>192</v>
      </c>
      <c r="E12" s="74">
        <f>ROUND(17721142,-3)</f>
        <v>17721000</v>
      </c>
      <c r="F12" s="74"/>
      <c r="G12" s="74">
        <f>ROUND(16568337,-3)</f>
        <v>16568000</v>
      </c>
      <c r="H12" s="74">
        <f>ROUND(16568337,-3)</f>
        <v>16568000</v>
      </c>
      <c r="I12" s="74">
        <f>ROUND(16568337,-3)</f>
        <v>16568000</v>
      </c>
      <c r="J12" s="74">
        <f>ROUND(16568337,-3)</f>
        <v>16568000</v>
      </c>
      <c r="K12" s="66"/>
      <c r="L12" s="74"/>
      <c r="M12" s="66"/>
      <c r="N12" s="37"/>
    </row>
    <row r="13" spans="1:17" x14ac:dyDescent="0.2">
      <c r="A13">
        <v>7</v>
      </c>
      <c r="C13" s="70" t="s">
        <v>237</v>
      </c>
      <c r="E13" s="502">
        <v>-23870000</v>
      </c>
      <c r="F13" s="156"/>
      <c r="G13" s="149">
        <f>ROUND(-'Detail_01-02'!W231,-3)</f>
        <v>-30242000</v>
      </c>
      <c r="H13" s="156">
        <f>ROUND(-'Detail_01-02'!AD231,-3)</f>
        <v>-26841000</v>
      </c>
      <c r="I13" s="156">
        <f>ROUND(-'Detail_01-02'!AE231,-3)</f>
        <v>-29255000</v>
      </c>
      <c r="J13" s="156">
        <f>ROUND(-'Detail_01-02'!AF231,-3)</f>
        <v>-27475000</v>
      </c>
      <c r="K13" s="66"/>
      <c r="L13" s="156">
        <f>ROUND(-'Detail_01-02'!AL231,-3)</f>
        <v>-8734000</v>
      </c>
      <c r="M13" s="66"/>
      <c r="N13" s="37"/>
    </row>
    <row r="14" spans="1:17" x14ac:dyDescent="0.2">
      <c r="A14">
        <v>8</v>
      </c>
      <c r="C14" t="s">
        <v>289</v>
      </c>
      <c r="D14" s="179"/>
      <c r="E14" s="156">
        <f>ROUND(E13*E37,-3)</f>
        <v>5109000</v>
      </c>
      <c r="F14" s="156"/>
      <c r="G14" s="156">
        <f>ROUND(G13*G37,-3)</f>
        <v>6473000</v>
      </c>
      <c r="H14" s="156">
        <f>ROUND(H13*H37,-3)</f>
        <v>5745000</v>
      </c>
      <c r="I14" s="156">
        <f>ROUND(I13*I37,-3)</f>
        <v>6261000</v>
      </c>
      <c r="J14" s="156">
        <f>ROUND(J13*J37,-3)</f>
        <v>5880000</v>
      </c>
      <c r="K14" s="66"/>
      <c r="L14" s="156">
        <f>ROUND(L13*L37,-3)</f>
        <v>1869000</v>
      </c>
      <c r="M14" s="66"/>
      <c r="N14" s="37"/>
    </row>
    <row r="15" spans="1:17" ht="13.5" thickBot="1" x14ac:dyDescent="0.25">
      <c r="A15">
        <v>9</v>
      </c>
      <c r="C15" t="s">
        <v>290</v>
      </c>
      <c r="E15" s="483">
        <f>SUM(E12:E14)</f>
        <v>-1040000</v>
      </c>
      <c r="F15" s="234"/>
      <c r="G15" s="483">
        <f>SUM(G12:G14)</f>
        <v>-7201000</v>
      </c>
      <c r="H15" s="483">
        <f>SUM(H12:H14)</f>
        <v>-4528000</v>
      </c>
      <c r="I15" s="483">
        <f>SUM(I12:I14)</f>
        <v>-6426000</v>
      </c>
      <c r="J15" s="483">
        <f>SUM(J12:J14)</f>
        <v>-5027000</v>
      </c>
      <c r="K15" s="66"/>
      <c r="L15" s="483">
        <f>SUM(L12:L14)</f>
        <v>-6865000</v>
      </c>
      <c r="M15" s="66"/>
      <c r="N15" s="37"/>
    </row>
    <row r="16" spans="1:17" ht="13.5" thickBot="1" x14ac:dyDescent="0.25">
      <c r="A16" s="484">
        <v>10</v>
      </c>
      <c r="B16" s="485"/>
      <c r="C16" s="485" t="s">
        <v>318</v>
      </c>
      <c r="D16" s="485"/>
      <c r="E16" s="486"/>
      <c r="F16" s="486"/>
      <c r="G16" s="486"/>
      <c r="H16" s="486">
        <f>G15-H15</f>
        <v>-2673000</v>
      </c>
      <c r="I16" s="486">
        <f>G15-I15</f>
        <v>-775000</v>
      </c>
      <c r="J16" s="486">
        <f>G15-J15</f>
        <v>-2174000</v>
      </c>
      <c r="K16" s="487"/>
      <c r="L16" s="486"/>
      <c r="M16" s="488"/>
      <c r="N16" s="37"/>
    </row>
    <row r="17" spans="1:15" x14ac:dyDescent="0.2">
      <c r="A17">
        <v>11</v>
      </c>
      <c r="C17" s="155" t="s">
        <v>255</v>
      </c>
      <c r="D17" s="300"/>
      <c r="E17" s="381">
        <f>-E12/(SUM(E13:E14))</f>
        <v>0.94456585469857679</v>
      </c>
      <c r="F17" s="10"/>
      <c r="G17" s="381">
        <f>-G12/(SUM(G13:G14))</f>
        <v>0.69704236610711434</v>
      </c>
      <c r="H17" s="381">
        <f>-H12/(SUM(H13:H14))</f>
        <v>0.7853621539628366</v>
      </c>
      <c r="I17" s="381">
        <f>-I12/(SUM(I13:I14))</f>
        <v>0.72053579194572492</v>
      </c>
      <c r="J17" s="381">
        <f>-J12/(SUM(J13:J14))</f>
        <v>0.76721463301690207</v>
      </c>
      <c r="K17" s="302"/>
      <c r="L17" s="381"/>
      <c r="M17" s="301"/>
      <c r="N17" s="37"/>
    </row>
    <row r="18" spans="1:15" x14ac:dyDescent="0.2">
      <c r="A18">
        <v>12</v>
      </c>
      <c r="C18" s="155" t="s">
        <v>256</v>
      </c>
      <c r="D18" s="300"/>
      <c r="E18" s="306">
        <f>-(((-E13-E14)*0.9)-E12)</f>
        <v>836100</v>
      </c>
      <c r="F18" s="10"/>
      <c r="G18" s="306">
        <f>-(((-G13-G14)*0.9)-G12)</f>
        <v>-4824100</v>
      </c>
      <c r="H18" s="306">
        <f>-(((-H13-H14)*0.9)-H12)</f>
        <v>-2418400</v>
      </c>
      <c r="I18" s="306">
        <f>-(((-I13-I14)*0.9)-I12)</f>
        <v>-4126600</v>
      </c>
      <c r="J18" s="306">
        <f>-(((-J13-J14)*0.9)-J12)</f>
        <v>-2867500</v>
      </c>
      <c r="K18" s="302"/>
      <c r="L18" s="306"/>
      <c r="M18" s="301"/>
      <c r="N18" s="37"/>
    </row>
    <row r="19" spans="1:15" ht="13.5" thickBot="1" x14ac:dyDescent="0.25">
      <c r="C19" s="155"/>
      <c r="D19" s="300"/>
      <c r="E19" s="301"/>
      <c r="F19" s="10"/>
      <c r="H19" s="301"/>
      <c r="I19" s="301"/>
      <c r="J19" s="301"/>
      <c r="K19" s="302"/>
      <c r="L19" s="301"/>
      <c r="M19" s="301"/>
      <c r="N19" s="37"/>
      <c r="O19" s="457"/>
    </row>
    <row r="20" spans="1:15" x14ac:dyDescent="0.2">
      <c r="B20" s="342"/>
      <c r="C20" s="343"/>
      <c r="D20" s="172"/>
      <c r="E20" s="173"/>
      <c r="F20" s="172"/>
      <c r="G20" s="173"/>
      <c r="H20" s="172"/>
      <c r="I20" s="172"/>
      <c r="J20" s="375" t="s">
        <v>271</v>
      </c>
      <c r="K20" s="66"/>
      <c r="L20" s="160"/>
      <c r="M20" s="160"/>
      <c r="N20" s="37"/>
    </row>
    <row r="21" spans="1:15" x14ac:dyDescent="0.2">
      <c r="B21" s="360"/>
      <c r="C21" s="361"/>
      <c r="D21" s="174" t="s">
        <v>166</v>
      </c>
      <c r="E21" s="175"/>
      <c r="F21" s="174" t="s">
        <v>166</v>
      </c>
      <c r="G21" s="175"/>
      <c r="H21" s="174" t="s">
        <v>271</v>
      </c>
      <c r="I21" s="174" t="s">
        <v>271</v>
      </c>
      <c r="J21" s="378" t="s">
        <v>279</v>
      </c>
      <c r="K21" s="66"/>
      <c r="L21" s="362"/>
      <c r="M21" s="362"/>
      <c r="N21" s="37"/>
    </row>
    <row r="22" spans="1:15" x14ac:dyDescent="0.2">
      <c r="B22" s="360" t="s">
        <v>153</v>
      </c>
      <c r="C22" s="361"/>
      <c r="D22" s="174" t="s">
        <v>108</v>
      </c>
      <c r="E22" s="175"/>
      <c r="F22" s="174" t="s">
        <v>108</v>
      </c>
      <c r="G22" s="174" t="s">
        <v>522</v>
      </c>
      <c r="H22" s="322" t="s">
        <v>279</v>
      </c>
      <c r="I22" s="322" t="s">
        <v>280</v>
      </c>
      <c r="J22" s="376" t="s">
        <v>281</v>
      </c>
      <c r="K22" s="66"/>
      <c r="L22" s="362"/>
      <c r="M22" s="362" t="s">
        <v>264</v>
      </c>
      <c r="N22" s="37"/>
    </row>
    <row r="23" spans="1:15" ht="13.5" thickBot="1" x14ac:dyDescent="0.25">
      <c r="B23" s="344" t="s">
        <v>228</v>
      </c>
      <c r="C23" s="345" t="s">
        <v>265</v>
      </c>
      <c r="D23" s="346" t="s">
        <v>114</v>
      </c>
      <c r="E23" s="346" t="s">
        <v>199</v>
      </c>
      <c r="F23" s="346" t="s">
        <v>114</v>
      </c>
      <c r="G23" s="346" t="s">
        <v>205</v>
      </c>
      <c r="H23" s="346" t="s">
        <v>193</v>
      </c>
      <c r="I23" s="346" t="s">
        <v>194</v>
      </c>
      <c r="J23" s="347" t="s">
        <v>232</v>
      </c>
      <c r="K23" s="66"/>
      <c r="L23" s="161"/>
      <c r="M23" s="161" t="s">
        <v>240</v>
      </c>
      <c r="N23" s="37"/>
    </row>
    <row r="24" spans="1:15" x14ac:dyDescent="0.2">
      <c r="A24">
        <v>13</v>
      </c>
      <c r="B24" s="45" t="s">
        <v>218</v>
      </c>
      <c r="C24" s="339" t="s">
        <v>154</v>
      </c>
      <c r="D24" s="499">
        <v>0</v>
      </c>
      <c r="E24" s="340">
        <v>28500</v>
      </c>
      <c r="F24" s="341">
        <f>'SumCalc_01-02'!C7</f>
        <v>0</v>
      </c>
      <c r="G24" s="340">
        <v>36000</v>
      </c>
      <c r="H24" s="340">
        <v>0</v>
      </c>
      <c r="I24" s="340">
        <v>0</v>
      </c>
      <c r="J24" s="340">
        <v>0</v>
      </c>
      <c r="K24" s="66"/>
      <c r="L24" s="76"/>
      <c r="M24" s="76">
        <v>36000</v>
      </c>
      <c r="N24" s="37"/>
    </row>
    <row r="25" spans="1:15" x14ac:dyDescent="0.2">
      <c r="A25">
        <v>14</v>
      </c>
      <c r="B25" s="348" t="s">
        <v>219</v>
      </c>
      <c r="C25" s="349" t="s">
        <v>155</v>
      </c>
      <c r="D25" s="500">
        <v>0</v>
      </c>
      <c r="E25" s="350">
        <v>28500</v>
      </c>
      <c r="F25" s="351">
        <f>'SumCalc_01-02'!C9</f>
        <v>0</v>
      </c>
      <c r="G25" s="350">
        <v>36000</v>
      </c>
      <c r="H25" s="350">
        <v>0</v>
      </c>
      <c r="I25" s="350">
        <v>0</v>
      </c>
      <c r="J25" s="350">
        <v>0</v>
      </c>
      <c r="K25" s="352"/>
      <c r="L25" s="350"/>
      <c r="M25" s="350">
        <v>36000</v>
      </c>
      <c r="N25" s="37"/>
    </row>
    <row r="26" spans="1:15" x14ac:dyDescent="0.2">
      <c r="A26">
        <v>15</v>
      </c>
      <c r="B26" s="45" t="s">
        <v>220</v>
      </c>
      <c r="C26" s="78" t="s">
        <v>156</v>
      </c>
      <c r="D26" s="501">
        <v>7</v>
      </c>
      <c r="E26" s="76">
        <v>28500</v>
      </c>
      <c r="F26" s="235">
        <f>'SumCalc_01-02'!C11</f>
        <v>6</v>
      </c>
      <c r="G26" s="76">
        <v>36000</v>
      </c>
      <c r="H26" s="76">
        <v>2000</v>
      </c>
      <c r="I26" s="76">
        <v>3000</v>
      </c>
      <c r="J26" s="76">
        <v>2000</v>
      </c>
      <c r="K26" s="66"/>
      <c r="L26" s="437"/>
      <c r="M26" s="76">
        <v>36000</v>
      </c>
      <c r="N26" s="37"/>
    </row>
    <row r="27" spans="1:15" x14ac:dyDescent="0.2">
      <c r="A27">
        <v>16</v>
      </c>
      <c r="B27" s="348" t="s">
        <v>221</v>
      </c>
      <c r="C27" s="349" t="s">
        <v>157</v>
      </c>
      <c r="D27" s="500">
        <v>7</v>
      </c>
      <c r="E27" s="350">
        <v>28500</v>
      </c>
      <c r="F27" s="351">
        <f>'SumCalc_01-02'!C13</f>
        <v>7</v>
      </c>
      <c r="G27" s="350">
        <v>36000</v>
      </c>
      <c r="H27" s="350">
        <v>3000</v>
      </c>
      <c r="I27" s="350">
        <v>4000</v>
      </c>
      <c r="J27" s="350">
        <v>3000</v>
      </c>
      <c r="K27" s="352"/>
      <c r="L27" s="350"/>
      <c r="M27" s="350">
        <v>36000</v>
      </c>
      <c r="N27" s="37"/>
    </row>
    <row r="28" spans="1:15" x14ac:dyDescent="0.2">
      <c r="A28">
        <v>17</v>
      </c>
      <c r="B28" s="45" t="s">
        <v>222</v>
      </c>
      <c r="C28" s="78" t="s">
        <v>158</v>
      </c>
      <c r="D28" s="501">
        <v>7</v>
      </c>
      <c r="E28" s="76">
        <v>28500</v>
      </c>
      <c r="F28" s="235">
        <f>'SumCalc_01-02'!C15</f>
        <v>6</v>
      </c>
      <c r="G28" s="76">
        <v>36000</v>
      </c>
      <c r="H28" s="76">
        <v>7000</v>
      </c>
      <c r="I28" s="76">
        <v>8000</v>
      </c>
      <c r="J28" s="76">
        <v>7000</v>
      </c>
      <c r="K28" s="66"/>
      <c r="L28" s="76"/>
      <c r="M28" s="76">
        <v>36000</v>
      </c>
      <c r="N28" s="37"/>
    </row>
    <row r="29" spans="1:15" x14ac:dyDescent="0.2">
      <c r="A29">
        <v>18</v>
      </c>
      <c r="B29" s="348" t="s">
        <v>211</v>
      </c>
      <c r="C29" s="349" t="s">
        <v>159</v>
      </c>
      <c r="D29" s="500">
        <v>9</v>
      </c>
      <c r="E29" s="350">
        <v>28500</v>
      </c>
      <c r="F29" s="351">
        <f>'SumCalc_01-02'!C17</f>
        <v>8</v>
      </c>
      <c r="G29" s="350">
        <v>36000</v>
      </c>
      <c r="H29" s="350">
        <v>10000</v>
      </c>
      <c r="I29" s="350">
        <v>12000</v>
      </c>
      <c r="J29" s="350">
        <v>10000</v>
      </c>
      <c r="K29" s="352"/>
      <c r="L29" s="350"/>
      <c r="M29" s="350">
        <v>36000</v>
      </c>
      <c r="N29" s="37"/>
    </row>
    <row r="30" spans="1:15" x14ac:dyDescent="0.2">
      <c r="A30">
        <v>19</v>
      </c>
      <c r="B30" s="45" t="s">
        <v>223</v>
      </c>
      <c r="C30" s="78" t="s">
        <v>160</v>
      </c>
      <c r="D30" s="501">
        <v>13</v>
      </c>
      <c r="E30" s="76">
        <v>28500</v>
      </c>
      <c r="F30" s="235">
        <f>'SumCalc_01-02'!C19</f>
        <v>13</v>
      </c>
      <c r="G30" s="76">
        <v>36000</v>
      </c>
      <c r="H30" s="76">
        <v>17000</v>
      </c>
      <c r="I30" s="76">
        <v>21000</v>
      </c>
      <c r="J30" s="76">
        <v>17000</v>
      </c>
      <c r="K30" s="66"/>
      <c r="L30" s="76"/>
      <c r="M30" s="76">
        <v>36000</v>
      </c>
      <c r="N30" s="37"/>
    </row>
    <row r="31" spans="1:15" x14ac:dyDescent="0.2">
      <c r="A31">
        <v>20</v>
      </c>
      <c r="B31" s="348" t="s">
        <v>224</v>
      </c>
      <c r="C31" s="349" t="s">
        <v>161</v>
      </c>
      <c r="D31" s="500">
        <v>13</v>
      </c>
      <c r="E31" s="350">
        <v>28500</v>
      </c>
      <c r="F31" s="351">
        <f>'SumCalc_01-02'!C21</f>
        <v>14</v>
      </c>
      <c r="G31" s="350">
        <v>36000</v>
      </c>
      <c r="H31" s="350">
        <v>25000</v>
      </c>
      <c r="I31" s="350">
        <v>32000</v>
      </c>
      <c r="J31" s="350">
        <v>25000</v>
      </c>
      <c r="K31" s="352"/>
      <c r="L31" s="350"/>
      <c r="M31" s="350">
        <v>36000</v>
      </c>
      <c r="N31" s="37"/>
    </row>
    <row r="32" spans="1:15" x14ac:dyDescent="0.2">
      <c r="A32">
        <v>21</v>
      </c>
      <c r="B32" s="45" t="s">
        <v>225</v>
      </c>
      <c r="C32" s="78" t="s">
        <v>162</v>
      </c>
      <c r="D32" s="501">
        <v>15</v>
      </c>
      <c r="E32" s="76">
        <v>28500</v>
      </c>
      <c r="F32" s="235">
        <f>'SumCalc_01-02'!C23</f>
        <v>12</v>
      </c>
      <c r="G32" s="76">
        <v>36000</v>
      </c>
      <c r="H32" s="76">
        <v>28500</v>
      </c>
      <c r="I32" s="76">
        <v>36000</v>
      </c>
      <c r="J32" s="76">
        <v>28000</v>
      </c>
      <c r="K32" s="66"/>
      <c r="L32" s="76"/>
      <c r="M32" s="76">
        <v>36000</v>
      </c>
      <c r="N32" s="37"/>
    </row>
    <row r="33" spans="1:14" x14ac:dyDescent="0.2">
      <c r="A33">
        <v>22</v>
      </c>
      <c r="B33" s="348" t="s">
        <v>226</v>
      </c>
      <c r="C33" s="349" t="s">
        <v>163</v>
      </c>
      <c r="D33" s="500">
        <v>16</v>
      </c>
      <c r="E33" s="350">
        <v>28500</v>
      </c>
      <c r="F33" s="351">
        <f>'SumCalc_01-02'!C25</f>
        <v>14</v>
      </c>
      <c r="G33" s="350">
        <v>36000</v>
      </c>
      <c r="H33" s="350">
        <v>28500</v>
      </c>
      <c r="I33" s="350">
        <v>36000</v>
      </c>
      <c r="J33" s="350">
        <v>32000</v>
      </c>
      <c r="K33" s="352"/>
      <c r="L33" s="350"/>
      <c r="M33" s="350">
        <v>36000</v>
      </c>
      <c r="N33" s="37"/>
    </row>
    <row r="34" spans="1:14" x14ac:dyDescent="0.2">
      <c r="A34">
        <v>23</v>
      </c>
      <c r="B34" s="45" t="s">
        <v>227</v>
      </c>
      <c r="C34" s="78" t="s">
        <v>164</v>
      </c>
      <c r="D34" s="501">
        <v>8</v>
      </c>
      <c r="E34" s="76">
        <v>28500</v>
      </c>
      <c r="F34" s="235">
        <f>'SumCalc_01-02'!C27</f>
        <v>4</v>
      </c>
      <c r="G34" s="76">
        <v>36000</v>
      </c>
      <c r="H34" s="76">
        <v>28500</v>
      </c>
      <c r="I34" s="76">
        <v>36000</v>
      </c>
      <c r="J34" s="76">
        <v>35000</v>
      </c>
      <c r="K34" s="66"/>
      <c r="L34" s="76"/>
      <c r="M34" s="76">
        <v>36000</v>
      </c>
      <c r="N34" s="37"/>
    </row>
    <row r="35" spans="1:14" ht="13.5" thickBot="1" x14ac:dyDescent="0.25">
      <c r="A35">
        <v>24</v>
      </c>
      <c r="C35" t="s">
        <v>231</v>
      </c>
      <c r="D35" s="75">
        <f>SUM(D24:D34)</f>
        <v>95</v>
      </c>
      <c r="E35" s="74"/>
      <c r="F35" s="236">
        <f>SUM(F24:F34)</f>
        <v>84</v>
      </c>
      <c r="J35" s="66"/>
      <c r="K35" s="66"/>
      <c r="L35" s="66"/>
      <c r="M35" s="66"/>
      <c r="N35" s="37"/>
    </row>
    <row r="36" spans="1:14" ht="13.5" thickTop="1" x14ac:dyDescent="0.2">
      <c r="C36" s="155" t="s">
        <v>191</v>
      </c>
      <c r="J36" s="66"/>
      <c r="K36" s="66"/>
      <c r="L36" s="66"/>
      <c r="M36" s="66"/>
      <c r="N36" s="37"/>
    </row>
    <row r="37" spans="1:14" x14ac:dyDescent="0.2">
      <c r="A37">
        <v>25</v>
      </c>
      <c r="C37" s="353" t="s">
        <v>311</v>
      </c>
      <c r="D37" s="353"/>
      <c r="E37" s="354">
        <v>-0.2140263181659188</v>
      </c>
      <c r="F37" s="354"/>
      <c r="G37" s="354">
        <v>-0.2140263181659188</v>
      </c>
      <c r="H37" s="354">
        <v>-0.2140263181659188</v>
      </c>
      <c r="I37" s="354">
        <v>-0.2140263181659188</v>
      </c>
      <c r="J37" s="354">
        <v>-0.2140263181659188</v>
      </c>
      <c r="K37" s="352"/>
      <c r="L37" s="354">
        <v>-0.2140263181659188</v>
      </c>
      <c r="M37" s="354">
        <v>-0.2140263181659188</v>
      </c>
      <c r="N37" s="37"/>
    </row>
    <row r="38" spans="1:14" x14ac:dyDescent="0.2">
      <c r="A38">
        <v>26</v>
      </c>
      <c r="C38" s="70" t="s">
        <v>246</v>
      </c>
      <c r="E38" s="270">
        <f>65+16.8</f>
        <v>81.8</v>
      </c>
      <c r="F38" s="71"/>
      <c r="G38" s="270">
        <f>65+16.8</f>
        <v>81.8</v>
      </c>
      <c r="H38" s="270">
        <f>65+16.8</f>
        <v>81.8</v>
      </c>
      <c r="I38" s="270">
        <f>65+16.8</f>
        <v>81.8</v>
      </c>
      <c r="J38" s="270">
        <f>65+16.8</f>
        <v>81.8</v>
      </c>
      <c r="K38" s="66"/>
      <c r="L38" s="270">
        <f>65+16.8</f>
        <v>81.8</v>
      </c>
      <c r="M38" s="270">
        <f>65+16.8</f>
        <v>81.8</v>
      </c>
      <c r="N38" s="37"/>
    </row>
    <row r="39" spans="1:14" x14ac:dyDescent="0.2">
      <c r="A39">
        <v>27</v>
      </c>
      <c r="C39" s="355" t="s">
        <v>263</v>
      </c>
      <c r="D39" s="353"/>
      <c r="E39" s="356">
        <f>65+24.3</f>
        <v>89.3</v>
      </c>
      <c r="F39" s="357"/>
      <c r="G39" s="356">
        <f>65+24.3</f>
        <v>89.3</v>
      </c>
      <c r="H39" s="356">
        <f>65+24.3</f>
        <v>89.3</v>
      </c>
      <c r="I39" s="356">
        <f>65+24.3</f>
        <v>89.3</v>
      </c>
      <c r="J39" s="356">
        <f>65+24.3</f>
        <v>89.3</v>
      </c>
      <c r="K39" s="352"/>
      <c r="L39" s="356">
        <f>65+24.3</f>
        <v>89.3</v>
      </c>
      <c r="M39" s="356">
        <f>65+24.3</f>
        <v>89.3</v>
      </c>
      <c r="N39" s="37"/>
    </row>
    <row r="40" spans="1:14" x14ac:dyDescent="0.2">
      <c r="A40">
        <v>28</v>
      </c>
      <c r="C40" s="70" t="s">
        <v>195</v>
      </c>
      <c r="E40" s="72">
        <v>0.09</v>
      </c>
      <c r="F40" s="72"/>
      <c r="G40" s="72">
        <v>0.09</v>
      </c>
      <c r="H40" s="72">
        <v>0.09</v>
      </c>
      <c r="I40" s="72">
        <v>0.09</v>
      </c>
      <c r="J40" s="72">
        <v>0.09</v>
      </c>
      <c r="K40" s="66"/>
      <c r="L40" s="72">
        <v>0.09</v>
      </c>
      <c r="M40" s="382">
        <v>5.5E-2</v>
      </c>
      <c r="N40" s="37"/>
    </row>
    <row r="41" spans="1:14" x14ac:dyDescent="0.2">
      <c r="A41">
        <v>29</v>
      </c>
      <c r="C41" s="355" t="s">
        <v>196</v>
      </c>
      <c r="D41" s="353"/>
      <c r="E41" s="358" t="s">
        <v>64</v>
      </c>
      <c r="F41" s="358"/>
      <c r="G41" s="358" t="s">
        <v>64</v>
      </c>
      <c r="H41" s="358" t="s">
        <v>64</v>
      </c>
      <c r="I41" s="358" t="s">
        <v>64</v>
      </c>
      <c r="J41" s="358" t="s">
        <v>64</v>
      </c>
      <c r="K41" s="352"/>
      <c r="L41" s="358" t="s">
        <v>64</v>
      </c>
      <c r="M41" s="358" t="s">
        <v>64</v>
      </c>
      <c r="N41" s="37"/>
    </row>
    <row r="42" spans="1:14" x14ac:dyDescent="0.2">
      <c r="A42">
        <v>30</v>
      </c>
      <c r="C42" s="70" t="s">
        <v>197</v>
      </c>
      <c r="E42" s="154" t="s">
        <v>64</v>
      </c>
      <c r="F42" s="154"/>
      <c r="G42" s="154" t="s">
        <v>64</v>
      </c>
      <c r="H42" s="154" t="s">
        <v>64</v>
      </c>
      <c r="I42" s="154" t="s">
        <v>64</v>
      </c>
      <c r="J42" s="154" t="s">
        <v>64</v>
      </c>
      <c r="K42" s="66"/>
      <c r="L42" s="154" t="s">
        <v>64</v>
      </c>
      <c r="M42" s="154" t="s">
        <v>64</v>
      </c>
      <c r="N42" s="37"/>
    </row>
    <row r="43" spans="1:14" x14ac:dyDescent="0.2">
      <c r="A43">
        <v>31</v>
      </c>
      <c r="C43" s="355" t="s">
        <v>198</v>
      </c>
      <c r="D43" s="353"/>
      <c r="E43" s="357">
        <v>65</v>
      </c>
      <c r="F43" s="357"/>
      <c r="G43" s="357">
        <v>65</v>
      </c>
      <c r="H43" s="357">
        <v>65</v>
      </c>
      <c r="I43" s="357">
        <v>65</v>
      </c>
      <c r="J43" s="357">
        <v>65</v>
      </c>
      <c r="K43" s="352"/>
      <c r="L43" s="357">
        <v>65</v>
      </c>
      <c r="M43" s="357">
        <v>65</v>
      </c>
      <c r="N43" s="37"/>
    </row>
    <row r="44" spans="1:14" x14ac:dyDescent="0.2">
      <c r="C44" s="70" t="s">
        <v>266</v>
      </c>
      <c r="E44" s="77"/>
      <c r="F44" s="77"/>
      <c r="G44" s="77"/>
      <c r="H44" s="77"/>
      <c r="I44" s="77"/>
      <c r="J44" s="77"/>
      <c r="K44" s="66"/>
      <c r="L44" s="77"/>
      <c r="M44" s="77"/>
      <c r="N44" s="37"/>
    </row>
    <row r="45" spans="1:14" x14ac:dyDescent="0.2">
      <c r="A45">
        <v>32</v>
      </c>
      <c r="C45" s="355" t="s">
        <v>267</v>
      </c>
      <c r="D45" s="353"/>
      <c r="E45" s="359">
        <v>3</v>
      </c>
      <c r="F45" s="359"/>
      <c r="G45" s="359">
        <v>3</v>
      </c>
      <c r="H45" s="359">
        <v>3</v>
      </c>
      <c r="I45" s="359">
        <v>3</v>
      </c>
      <c r="J45" s="359">
        <v>3</v>
      </c>
      <c r="K45" s="353"/>
      <c r="L45" s="359">
        <v>3</v>
      </c>
      <c r="M45" s="359">
        <v>3</v>
      </c>
    </row>
    <row r="46" spans="1:14" x14ac:dyDescent="0.2">
      <c r="A46">
        <v>33</v>
      </c>
      <c r="C46" s="70" t="s">
        <v>282</v>
      </c>
      <c r="E46" s="379">
        <v>6.2600000000000003E-2</v>
      </c>
      <c r="F46" s="73"/>
      <c r="G46" s="379">
        <v>6.0600000000000001E-2</v>
      </c>
      <c r="H46" s="379">
        <v>6.0600000000000001E-2</v>
      </c>
      <c r="I46" s="379">
        <v>6.0600000000000001E-2</v>
      </c>
      <c r="J46" s="379">
        <v>6.0600000000000001E-2</v>
      </c>
      <c r="K46" s="37"/>
      <c r="L46" s="379">
        <v>6.0600000000000001E-2</v>
      </c>
      <c r="M46" s="379"/>
      <c r="N46" s="37"/>
    </row>
    <row r="48" spans="1:14" x14ac:dyDescent="0.2">
      <c r="E48" s="37"/>
      <c r="F48" s="37"/>
    </row>
  </sheetData>
  <phoneticPr fontId="0" type="noConversion"/>
  <pageMargins left="0.5" right="0.25" top="0.5" bottom="0.75" header="0.25" footer="0.5"/>
  <pageSetup scale="90" orientation="landscape" r:id="rId1"/>
  <headerFooter alignWithMargins="0">
    <oddHeader>&amp;CAppendix A</oddHeader>
    <oddFooter>&amp;CPage x
Appendix 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2"/>
  <sheetViews>
    <sheetView workbookViewId="0">
      <selection activeCell="A2" sqref="A2"/>
    </sheetView>
  </sheetViews>
  <sheetFormatPr defaultRowHeight="12.75" x14ac:dyDescent="0.2"/>
  <cols>
    <col min="1" max="1" width="2.7109375" customWidth="1"/>
    <col min="2" max="2" width="5.85546875" customWidth="1"/>
    <col min="3" max="3" width="32.28515625" customWidth="1"/>
    <col min="4" max="4" width="9.5703125" customWidth="1"/>
    <col min="5" max="6" width="12.85546875" customWidth="1"/>
    <col min="7" max="8" width="12" customWidth="1"/>
    <col min="9" max="9" width="12.7109375" customWidth="1"/>
    <col min="10" max="10" width="3.7109375" customWidth="1"/>
    <col min="11" max="11" width="12.7109375" customWidth="1"/>
    <col min="12" max="12" width="3.7109375" customWidth="1"/>
    <col min="13" max="14" width="11.85546875" customWidth="1"/>
    <col min="15" max="15" width="13" style="37" customWidth="1"/>
  </cols>
  <sheetData>
    <row r="1" spans="1:15" x14ac:dyDescent="0.2">
      <c r="A1" s="510" t="s">
        <v>524</v>
      </c>
    </row>
    <row r="2" spans="1:15" s="37" customFormat="1" x14ac:dyDescent="0.2">
      <c r="A2" s="37" t="s">
        <v>190</v>
      </c>
      <c r="O2" s="68"/>
    </row>
    <row r="3" spans="1:15" x14ac:dyDescent="0.2">
      <c r="A3" t="s">
        <v>258</v>
      </c>
      <c r="B3" s="1"/>
      <c r="C3" s="1"/>
      <c r="D3" s="80"/>
      <c r="E3" s="174" t="s">
        <v>203</v>
      </c>
      <c r="F3" s="174" t="s">
        <v>203</v>
      </c>
      <c r="G3" s="174" t="s">
        <v>261</v>
      </c>
      <c r="H3" s="323"/>
      <c r="I3" s="323"/>
      <c r="J3" s="323"/>
      <c r="K3" s="324"/>
      <c r="L3" s="323"/>
    </row>
    <row r="4" spans="1:15" s="44" customFormat="1" x14ac:dyDescent="0.2">
      <c r="B4" s="79"/>
      <c r="C4" s="308"/>
      <c r="D4" s="324"/>
      <c r="E4" s="322" t="s">
        <v>259</v>
      </c>
      <c r="F4" s="322" t="s">
        <v>260</v>
      </c>
      <c r="G4" s="174" t="s">
        <v>262</v>
      </c>
      <c r="H4" s="324"/>
      <c r="I4" s="324"/>
      <c r="J4" s="164"/>
      <c r="K4" s="324"/>
      <c r="L4" s="182"/>
      <c r="O4" s="69"/>
    </row>
    <row r="5" spans="1:15" x14ac:dyDescent="0.2">
      <c r="B5" s="1"/>
      <c r="C5" s="309"/>
      <c r="D5" s="323"/>
      <c r="E5" s="451">
        <v>6.08E-2</v>
      </c>
      <c r="F5" s="451">
        <v>6.2600000000000003E-2</v>
      </c>
      <c r="G5" s="1"/>
      <c r="H5" s="1"/>
      <c r="I5" s="310"/>
      <c r="J5" s="310"/>
      <c r="K5" s="310"/>
      <c r="L5" s="49"/>
    </row>
    <row r="6" spans="1:15" x14ac:dyDescent="0.2">
      <c r="B6" s="1"/>
      <c r="C6" s="309"/>
      <c r="D6" s="1"/>
      <c r="E6" s="100" t="s">
        <v>306</v>
      </c>
      <c r="F6" s="100" t="s">
        <v>306</v>
      </c>
      <c r="G6" s="307"/>
      <c r="H6" s="307"/>
      <c r="I6" s="307"/>
      <c r="J6" s="310"/>
      <c r="K6" s="307"/>
      <c r="L6" s="49"/>
    </row>
    <row r="7" spans="1:15" x14ac:dyDescent="0.2">
      <c r="B7" s="1"/>
      <c r="C7" s="1"/>
      <c r="D7" s="1"/>
      <c r="E7" s="307"/>
      <c r="F7" s="307"/>
      <c r="G7" s="307"/>
      <c r="H7" s="307"/>
      <c r="I7" s="307"/>
      <c r="J7" s="310"/>
      <c r="K7" s="307"/>
      <c r="L7" s="49"/>
    </row>
    <row r="8" spans="1:15" x14ac:dyDescent="0.2">
      <c r="B8" s="325">
        <v>1</v>
      </c>
      <c r="C8" s="327" t="str">
        <f>'Detail_01-02'!E154</f>
        <v>Beneficiary 4</v>
      </c>
      <c r="D8" s="328"/>
      <c r="E8" s="328">
        <f>'Detail_01-02'!W154</f>
        <v>615093.93340093887</v>
      </c>
      <c r="F8" s="328">
        <v>226619</v>
      </c>
      <c r="G8" s="328"/>
      <c r="H8" s="1"/>
      <c r="I8" s="310"/>
      <c r="J8" s="310"/>
      <c r="K8" s="310"/>
      <c r="L8" s="49"/>
    </row>
    <row r="9" spans="1:15" x14ac:dyDescent="0.2">
      <c r="B9" s="325">
        <v>2</v>
      </c>
      <c r="C9" s="329" t="str">
        <f>'Detail_01-02'!D162</f>
        <v>Retiree 6</v>
      </c>
      <c r="D9" s="330"/>
      <c r="E9" s="330">
        <f>'Detail_01-02'!W162</f>
        <v>590954.34618708293</v>
      </c>
      <c r="F9" s="330">
        <v>332571</v>
      </c>
      <c r="G9" s="330"/>
      <c r="H9" s="311"/>
      <c r="I9" s="311"/>
      <c r="J9" s="312"/>
      <c r="K9" s="311"/>
      <c r="L9" s="49"/>
    </row>
    <row r="10" spans="1:15" x14ac:dyDescent="0.2">
      <c r="B10" s="325">
        <v>3</v>
      </c>
      <c r="C10" s="329" t="str">
        <f>'Detail_01-02'!D163</f>
        <v>Retiree 7</v>
      </c>
      <c r="D10" s="330"/>
      <c r="E10" s="330">
        <f>'Detail_01-02'!W163</f>
        <v>558120.62081009767</v>
      </c>
      <c r="F10" s="330">
        <v>229866</v>
      </c>
      <c r="G10" s="330"/>
      <c r="H10" s="313"/>
      <c r="I10" s="313"/>
      <c r="J10" s="312"/>
      <c r="K10" s="311"/>
      <c r="L10" s="49"/>
    </row>
    <row r="11" spans="1:15" x14ac:dyDescent="0.2">
      <c r="B11" s="337">
        <v>4</v>
      </c>
      <c r="C11" s="329" t="str">
        <f>'Detail_01-02'!D164</f>
        <v>Retiree 8</v>
      </c>
      <c r="D11" s="330"/>
      <c r="E11" s="330">
        <f>'Detail_01-02'!W164</f>
        <v>386602.33327558957</v>
      </c>
      <c r="F11" s="330">
        <v>193069</v>
      </c>
      <c r="G11" s="330"/>
      <c r="H11" s="311"/>
      <c r="I11" s="311"/>
      <c r="J11" s="312"/>
      <c r="K11" s="311"/>
      <c r="L11" s="49"/>
    </row>
    <row r="12" spans="1:15" x14ac:dyDescent="0.2">
      <c r="B12" s="338">
        <v>5</v>
      </c>
      <c r="C12" s="329" t="str">
        <f>'Detail_01-02'!D165</f>
        <v>Retiree 9</v>
      </c>
      <c r="D12" s="332"/>
      <c r="E12" s="330">
        <f>'Detail_01-02'!W165</f>
        <v>478751.06039717526</v>
      </c>
      <c r="F12" s="332">
        <v>194186</v>
      </c>
      <c r="G12" s="332"/>
      <c r="H12" s="1"/>
      <c r="I12" s="310"/>
      <c r="J12" s="310"/>
      <c r="K12" s="310"/>
      <c r="L12" s="49"/>
    </row>
    <row r="13" spans="1:15" x14ac:dyDescent="0.2">
      <c r="B13" s="338">
        <v>6</v>
      </c>
      <c r="C13" s="329" t="str">
        <f>'Detail_01-02'!D166</f>
        <v>Retiree 10</v>
      </c>
      <c r="D13" s="333"/>
      <c r="E13" s="330">
        <f>'Detail_01-02'!W166</f>
        <v>520056.22880805779</v>
      </c>
      <c r="F13" s="333">
        <v>130684</v>
      </c>
      <c r="G13" s="333"/>
      <c r="H13" s="79"/>
      <c r="I13" s="79"/>
      <c r="J13" s="310"/>
      <c r="K13" s="310"/>
      <c r="L13" s="49"/>
    </row>
    <row r="14" spans="1:15" x14ac:dyDescent="0.2">
      <c r="B14" s="325">
        <v>7</v>
      </c>
      <c r="C14" s="329" t="str">
        <f>'Detail_01-02'!D167</f>
        <v>Retiree 11</v>
      </c>
      <c r="D14" s="332"/>
      <c r="E14" s="330">
        <f>'Detail_01-02'!W167</f>
        <v>558474.16005469882</v>
      </c>
      <c r="F14" s="332">
        <v>210169</v>
      </c>
      <c r="G14" s="332"/>
      <c r="H14" s="307"/>
      <c r="I14" s="307"/>
      <c r="J14" s="310"/>
      <c r="K14" s="307"/>
      <c r="L14" s="49"/>
    </row>
    <row r="15" spans="1:15" x14ac:dyDescent="0.2">
      <c r="B15" s="325">
        <v>8</v>
      </c>
      <c r="C15" s="329" t="str">
        <f>'Detail_01-02'!D168</f>
        <v>Retiree 12</v>
      </c>
      <c r="D15" s="332"/>
      <c r="E15" s="330">
        <f>'Detail_01-02'!W168</f>
        <v>391412.70165355247</v>
      </c>
      <c r="F15" s="332">
        <v>271033</v>
      </c>
      <c r="G15" s="332"/>
      <c r="H15" s="307"/>
      <c r="I15" s="307"/>
      <c r="J15" s="310"/>
      <c r="K15" s="307"/>
      <c r="L15" s="49"/>
    </row>
    <row r="16" spans="1:15" x14ac:dyDescent="0.2">
      <c r="B16" s="325">
        <v>9</v>
      </c>
      <c r="C16" s="329" t="str">
        <f>'Detail_01-02'!D169</f>
        <v>Retiree 13</v>
      </c>
      <c r="D16" s="332"/>
      <c r="E16" s="330">
        <f>'Detail_01-02'!W169</f>
        <v>578861.58982668922</v>
      </c>
      <c r="F16" s="332">
        <v>372472</v>
      </c>
      <c r="G16" s="332"/>
      <c r="H16" s="307"/>
      <c r="I16" s="307"/>
      <c r="J16" s="310"/>
      <c r="K16" s="307"/>
      <c r="L16" s="49"/>
    </row>
    <row r="17" spans="2:12" x14ac:dyDescent="0.2">
      <c r="B17" s="325">
        <v>10</v>
      </c>
      <c r="C17" s="329" t="str">
        <f>'Detail_01-02'!D194</f>
        <v>Retiree 35</v>
      </c>
      <c r="D17" s="332"/>
      <c r="E17" s="330">
        <f>'Detail_01-02'!W194</f>
        <v>73270.459535915768</v>
      </c>
      <c r="F17" s="332">
        <v>73036</v>
      </c>
      <c r="G17" s="332"/>
      <c r="H17" s="307"/>
      <c r="I17" s="307"/>
      <c r="J17" s="310"/>
      <c r="K17" s="307"/>
      <c r="L17" s="49"/>
    </row>
    <row r="18" spans="2:12" x14ac:dyDescent="0.2">
      <c r="B18" s="325">
        <v>11</v>
      </c>
      <c r="C18" s="329" t="str">
        <f>'Detail_01-02'!D211</f>
        <v>Retiree 45</v>
      </c>
      <c r="D18" s="332"/>
      <c r="E18" s="330">
        <f>'Detail_01-02'!W211</f>
        <v>28208.50350533018</v>
      </c>
      <c r="F18" s="332">
        <v>28119</v>
      </c>
      <c r="G18" s="332"/>
      <c r="H18" s="307"/>
      <c r="I18" s="307"/>
      <c r="J18" s="310"/>
      <c r="K18" s="307"/>
      <c r="L18" s="49"/>
    </row>
    <row r="19" spans="2:12" x14ac:dyDescent="0.2">
      <c r="B19" s="64"/>
      <c r="C19" s="329"/>
      <c r="D19" s="332"/>
      <c r="E19" s="330"/>
      <c r="F19" s="332"/>
      <c r="G19" s="332"/>
      <c r="H19" s="307"/>
      <c r="I19" s="307"/>
      <c r="J19" s="310"/>
      <c r="K19" s="307"/>
      <c r="L19" s="49"/>
    </row>
    <row r="20" spans="2:12" ht="13.5" thickBot="1" x14ac:dyDescent="0.25">
      <c r="B20" s="64"/>
      <c r="C20" s="329"/>
      <c r="D20" s="332"/>
      <c r="E20" s="452">
        <f>SUM(E8:E19)</f>
        <v>4779805.9374551279</v>
      </c>
      <c r="F20" s="452">
        <f>SUM(F8:F19)</f>
        <v>2261824</v>
      </c>
      <c r="G20" s="453">
        <f>F20-E20</f>
        <v>-2517981.9374551279</v>
      </c>
      <c r="H20" s="307"/>
      <c r="I20" s="307"/>
      <c r="J20" s="310"/>
      <c r="K20" s="307"/>
      <c r="L20" s="49"/>
    </row>
    <row r="21" spans="2:12" ht="13.5" thickTop="1" x14ac:dyDescent="0.2">
      <c r="B21" s="64"/>
      <c r="C21" s="334"/>
      <c r="D21" s="332"/>
      <c r="E21" s="332"/>
      <c r="F21" s="332"/>
      <c r="G21" s="332"/>
      <c r="H21" s="307"/>
      <c r="I21" s="307"/>
      <c r="J21" s="310"/>
      <c r="K21" s="307"/>
      <c r="L21" s="49"/>
    </row>
    <row r="22" spans="2:12" x14ac:dyDescent="0.2">
      <c r="B22" s="64"/>
      <c r="C22" s="334"/>
      <c r="D22" s="332"/>
      <c r="E22" s="332"/>
      <c r="F22" s="332"/>
      <c r="G22" s="332"/>
      <c r="H22" s="307"/>
      <c r="I22" s="307"/>
      <c r="J22" s="310"/>
      <c r="K22" s="307"/>
      <c r="L22" s="49"/>
    </row>
    <row r="23" spans="2:12" x14ac:dyDescent="0.2">
      <c r="B23" s="64"/>
      <c r="C23" s="334"/>
      <c r="D23" s="332"/>
      <c r="E23" s="332"/>
      <c r="F23" s="332"/>
      <c r="G23" s="332"/>
      <c r="H23" s="307"/>
      <c r="I23" s="307"/>
      <c r="J23" s="310"/>
      <c r="K23" s="307"/>
      <c r="L23" s="49"/>
    </row>
    <row r="24" spans="2:12" x14ac:dyDescent="0.2">
      <c r="B24" s="64"/>
      <c r="C24" s="334"/>
      <c r="D24" s="332"/>
      <c r="E24" s="332"/>
      <c r="F24" s="332"/>
      <c r="G24" s="332"/>
      <c r="H24" s="307"/>
      <c r="I24" s="307"/>
      <c r="J24" s="310"/>
      <c r="K24" s="307"/>
      <c r="L24" s="49"/>
    </row>
    <row r="25" spans="2:12" x14ac:dyDescent="0.2">
      <c r="B25" s="1"/>
      <c r="C25" s="332"/>
      <c r="D25" s="332"/>
      <c r="E25" s="332"/>
      <c r="F25" s="332"/>
      <c r="G25" s="332"/>
      <c r="H25" s="1"/>
      <c r="I25" s="310"/>
      <c r="J25" s="310"/>
      <c r="K25" s="310"/>
      <c r="L25" s="49"/>
    </row>
    <row r="26" spans="2:12" x14ac:dyDescent="0.2">
      <c r="B26" s="1"/>
      <c r="C26" s="332"/>
      <c r="D26" s="332"/>
      <c r="E26" s="332"/>
      <c r="F26" s="332"/>
      <c r="G26" s="332"/>
      <c r="H26" s="1"/>
      <c r="I26" s="310"/>
      <c r="J26" s="310"/>
      <c r="K26" s="310"/>
      <c r="L26" s="49"/>
    </row>
    <row r="27" spans="2:12" x14ac:dyDescent="0.2">
      <c r="B27" s="1"/>
      <c r="C27" s="331"/>
      <c r="D27" s="332"/>
      <c r="E27" s="332"/>
      <c r="F27" s="332"/>
      <c r="G27" s="332"/>
      <c r="H27" s="1"/>
      <c r="I27" s="310"/>
      <c r="J27" s="310"/>
      <c r="K27" s="310"/>
      <c r="L27" s="49"/>
    </row>
    <row r="28" spans="2:12" x14ac:dyDescent="0.2">
      <c r="B28" s="1"/>
      <c r="C28" s="331"/>
      <c r="D28" s="332"/>
      <c r="E28" s="332"/>
      <c r="F28" s="332"/>
      <c r="G28" s="332"/>
      <c r="H28" s="1"/>
      <c r="I28" s="310"/>
      <c r="J28" s="310"/>
      <c r="K28" s="310"/>
      <c r="L28" s="49"/>
    </row>
    <row r="29" spans="2:12" x14ac:dyDescent="0.2">
      <c r="B29" s="1"/>
      <c r="C29" s="329"/>
      <c r="D29" s="332"/>
      <c r="E29" s="332"/>
      <c r="F29" s="332"/>
      <c r="G29" s="332"/>
      <c r="H29" s="1"/>
      <c r="I29" s="310"/>
      <c r="J29" s="310"/>
      <c r="K29" s="310"/>
      <c r="L29" s="49"/>
    </row>
    <row r="30" spans="2:12" x14ac:dyDescent="0.2">
      <c r="B30" s="1"/>
      <c r="C30" s="332"/>
      <c r="D30" s="332"/>
      <c r="E30" s="333"/>
      <c r="F30" s="333"/>
      <c r="G30" s="333"/>
      <c r="H30" s="314"/>
      <c r="I30" s="314"/>
      <c r="J30" s="310"/>
      <c r="K30" s="314"/>
      <c r="L30" s="49"/>
    </row>
    <row r="31" spans="2:12" x14ac:dyDescent="0.2">
      <c r="B31" s="1"/>
      <c r="C31" s="331"/>
      <c r="D31" s="332"/>
      <c r="E31" s="326"/>
      <c r="F31" s="326"/>
      <c r="G31" s="326"/>
      <c r="H31" s="315"/>
      <c r="I31" s="315"/>
      <c r="J31" s="310"/>
      <c r="K31" s="315"/>
      <c r="L31" s="49"/>
    </row>
    <row r="32" spans="2:12" x14ac:dyDescent="0.2">
      <c r="B32" s="1"/>
      <c r="C32" s="335"/>
      <c r="D32" s="336"/>
      <c r="E32" s="326"/>
      <c r="F32" s="326"/>
      <c r="G32" s="326"/>
      <c r="H32" s="315"/>
      <c r="I32" s="315"/>
      <c r="J32" s="310"/>
      <c r="K32" s="315"/>
      <c r="L32" s="49"/>
    </row>
    <row r="33" spans="2:12" x14ac:dyDescent="0.2">
      <c r="B33" s="1"/>
      <c r="C33" s="335"/>
      <c r="D33" s="336"/>
      <c r="E33" s="326"/>
      <c r="F33" s="326"/>
      <c r="G33" s="326"/>
      <c r="H33" s="317"/>
      <c r="I33" s="317"/>
      <c r="J33" s="310"/>
      <c r="K33" s="317"/>
      <c r="L33" s="49"/>
    </row>
    <row r="34" spans="2:12" x14ac:dyDescent="0.2">
      <c r="B34" s="1"/>
      <c r="C34" s="309"/>
      <c r="D34" s="1"/>
      <c r="E34" s="318"/>
      <c r="F34" s="318"/>
      <c r="G34" s="318"/>
      <c r="H34" s="318"/>
      <c r="I34" s="318"/>
      <c r="J34" s="310"/>
      <c r="K34" s="318"/>
      <c r="L34" s="49"/>
    </row>
    <row r="35" spans="2:12" x14ac:dyDescent="0.2">
      <c r="B35" s="1"/>
      <c r="C35" s="309"/>
      <c r="D35" s="1"/>
      <c r="E35" s="318"/>
      <c r="F35" s="318"/>
      <c r="G35" s="318"/>
      <c r="H35" s="318"/>
      <c r="I35" s="318"/>
      <c r="J35" s="310"/>
      <c r="K35" s="318"/>
      <c r="L35" s="49"/>
    </row>
    <row r="36" spans="2:12" x14ac:dyDescent="0.2">
      <c r="B36" s="1"/>
      <c r="C36" s="309"/>
      <c r="D36" s="1"/>
      <c r="E36" s="316"/>
      <c r="F36" s="316"/>
      <c r="G36" s="316"/>
      <c r="H36" s="316"/>
      <c r="I36" s="316"/>
      <c r="J36" s="310"/>
      <c r="K36" s="316"/>
      <c r="L36" s="49"/>
    </row>
    <row r="37" spans="2:12" x14ac:dyDescent="0.2">
      <c r="B37" s="1"/>
      <c r="C37" s="309"/>
      <c r="D37" s="1"/>
      <c r="E37" s="319"/>
      <c r="F37" s="319"/>
      <c r="G37" s="319"/>
      <c r="H37" s="319"/>
      <c r="I37" s="319"/>
      <c r="J37" s="310"/>
      <c r="K37" s="319"/>
      <c r="L37" s="49"/>
    </row>
    <row r="38" spans="2:12" x14ac:dyDescent="0.2">
      <c r="B38" s="1"/>
      <c r="C38" s="309"/>
      <c r="D38" s="1"/>
      <c r="E38" s="320"/>
      <c r="F38" s="320"/>
      <c r="G38" s="320"/>
      <c r="H38" s="320"/>
      <c r="I38" s="320"/>
      <c r="J38" s="1"/>
      <c r="K38" s="320"/>
      <c r="L38" s="1"/>
    </row>
    <row r="39" spans="2:12" x14ac:dyDescent="0.2">
      <c r="B39" s="1"/>
      <c r="C39" s="309"/>
      <c r="D39" s="1"/>
      <c r="E39" s="321"/>
      <c r="F39" s="1"/>
      <c r="G39" s="1"/>
      <c r="H39" s="1"/>
      <c r="I39" s="49"/>
      <c r="J39" s="49"/>
      <c r="K39" s="49"/>
      <c r="L39" s="49"/>
    </row>
    <row r="40" spans="2:12" x14ac:dyDescent="0.2">
      <c r="B40" s="1"/>
      <c r="C40" s="1"/>
      <c r="D40" s="1"/>
      <c r="E40" s="1"/>
      <c r="F40" s="1"/>
      <c r="G40" s="1"/>
      <c r="H40" s="1"/>
      <c r="I40" s="1"/>
      <c r="J40" s="1"/>
      <c r="K40" s="1"/>
      <c r="L40" s="1"/>
    </row>
    <row r="41" spans="2:12" x14ac:dyDescent="0.2">
      <c r="B41" s="1"/>
      <c r="C41" s="1"/>
      <c r="D41" s="1"/>
      <c r="E41" s="49"/>
      <c r="F41" s="1"/>
      <c r="G41" s="1"/>
      <c r="H41" s="1"/>
      <c r="I41" s="1"/>
      <c r="J41" s="1"/>
      <c r="K41" s="1"/>
      <c r="L41" s="1"/>
    </row>
    <row r="42" spans="2:12" x14ac:dyDescent="0.2">
      <c r="B42" s="1"/>
      <c r="C42" s="1"/>
      <c r="D42" s="1"/>
      <c r="E42" s="1"/>
      <c r="F42" s="1"/>
      <c r="G42" s="1"/>
      <c r="H42" s="1"/>
      <c r="I42" s="1"/>
      <c r="J42" s="1"/>
      <c r="K42" s="1"/>
      <c r="L42" s="1"/>
    </row>
    <row r="43" spans="2:12" x14ac:dyDescent="0.2">
      <c r="B43" s="1"/>
      <c r="C43" s="1"/>
      <c r="D43" s="1"/>
      <c r="E43" s="1"/>
      <c r="F43" s="1"/>
      <c r="G43" s="1"/>
      <c r="H43" s="1"/>
      <c r="I43" s="1"/>
      <c r="J43" s="1"/>
      <c r="K43" s="1"/>
      <c r="L43" s="1"/>
    </row>
    <row r="44" spans="2:12" x14ac:dyDescent="0.2">
      <c r="B44" s="1"/>
      <c r="C44" s="1"/>
      <c r="D44" s="1"/>
      <c r="E44" s="1"/>
      <c r="F44" s="1"/>
      <c r="G44" s="1"/>
      <c r="H44" s="1"/>
      <c r="I44" s="1"/>
      <c r="J44" s="1"/>
      <c r="K44" s="1"/>
      <c r="L44" s="1"/>
    </row>
    <row r="45" spans="2:12" x14ac:dyDescent="0.2">
      <c r="B45" s="1"/>
      <c r="C45" s="1"/>
      <c r="D45" s="1"/>
      <c r="E45" s="1"/>
      <c r="F45" s="1"/>
      <c r="G45" s="1"/>
      <c r="H45" s="1"/>
      <c r="I45" s="1"/>
      <c r="J45" s="1"/>
      <c r="K45" s="1"/>
      <c r="L45" s="1"/>
    </row>
    <row r="46" spans="2:12" x14ac:dyDescent="0.2">
      <c r="B46" s="1"/>
      <c r="C46" s="1"/>
      <c r="D46" s="1"/>
      <c r="E46" s="1"/>
      <c r="F46" s="1"/>
      <c r="G46" s="1"/>
      <c r="H46" s="1"/>
      <c r="I46" s="1"/>
      <c r="J46" s="1"/>
      <c r="K46" s="1"/>
      <c r="L46" s="1"/>
    </row>
    <row r="47" spans="2:12" x14ac:dyDescent="0.2">
      <c r="B47" s="1"/>
      <c r="C47" s="1"/>
      <c r="D47" s="1"/>
      <c r="E47" s="1"/>
      <c r="F47" s="1"/>
      <c r="G47" s="1"/>
      <c r="H47" s="1"/>
      <c r="I47" s="1"/>
      <c r="J47" s="1"/>
      <c r="K47" s="1"/>
      <c r="L47" s="1"/>
    </row>
    <row r="48" spans="2:12" x14ac:dyDescent="0.2">
      <c r="B48" s="1"/>
      <c r="C48" s="1"/>
      <c r="D48" s="1"/>
      <c r="E48" s="1"/>
      <c r="F48" s="1"/>
      <c r="G48" s="1"/>
      <c r="H48" s="1"/>
      <c r="I48" s="1"/>
      <c r="J48" s="1"/>
      <c r="K48" s="1"/>
      <c r="L48" s="1"/>
    </row>
    <row r="49" spans="2:12" x14ac:dyDescent="0.2">
      <c r="B49" s="1"/>
      <c r="C49" s="1"/>
      <c r="D49" s="1"/>
      <c r="E49" s="1"/>
      <c r="F49" s="1"/>
      <c r="G49" s="1"/>
      <c r="H49" s="1"/>
      <c r="I49" s="1"/>
      <c r="J49" s="1"/>
      <c r="K49" s="1"/>
      <c r="L49" s="1"/>
    </row>
    <row r="50" spans="2:12" x14ac:dyDescent="0.2">
      <c r="B50" s="1"/>
      <c r="C50" s="1"/>
      <c r="D50" s="1"/>
      <c r="E50" s="1"/>
      <c r="F50" s="1"/>
      <c r="G50" s="1"/>
      <c r="H50" s="1"/>
      <c r="I50" s="1"/>
      <c r="J50" s="1"/>
      <c r="K50" s="1"/>
      <c r="L50" s="1"/>
    </row>
    <row r="51" spans="2:12" x14ac:dyDescent="0.2">
      <c r="B51" s="1"/>
      <c r="C51" s="1"/>
      <c r="D51" s="1"/>
      <c r="E51" s="1"/>
      <c r="F51" s="1"/>
      <c r="G51" s="1"/>
      <c r="H51" s="1"/>
      <c r="I51" s="1"/>
      <c r="J51" s="1"/>
      <c r="K51" s="1"/>
      <c r="L51" s="1"/>
    </row>
    <row r="52" spans="2:12" x14ac:dyDescent="0.2">
      <c r="B52" s="1"/>
      <c r="C52" s="1"/>
      <c r="D52" s="1"/>
      <c r="E52" s="1"/>
      <c r="F52" s="1"/>
      <c r="G52" s="1"/>
      <c r="H52" s="1"/>
      <c r="I52" s="1"/>
      <c r="J52" s="1"/>
      <c r="K52" s="1"/>
      <c r="L52" s="1"/>
    </row>
    <row r="53" spans="2:12" x14ac:dyDescent="0.2">
      <c r="B53" s="1"/>
      <c r="C53" s="1"/>
      <c r="D53" s="1"/>
      <c r="E53" s="1"/>
      <c r="F53" s="1"/>
      <c r="G53" s="1"/>
      <c r="H53" s="1"/>
      <c r="I53" s="1"/>
      <c r="J53" s="1"/>
      <c r="K53" s="1"/>
      <c r="L53" s="1"/>
    </row>
    <row r="54" spans="2:12" x14ac:dyDescent="0.2">
      <c r="B54" s="1"/>
      <c r="C54" s="1"/>
      <c r="D54" s="1"/>
      <c r="E54" s="1"/>
      <c r="F54" s="1"/>
      <c r="G54" s="1"/>
      <c r="H54" s="1"/>
      <c r="I54" s="1"/>
      <c r="J54" s="1"/>
      <c r="K54" s="1"/>
      <c r="L54" s="1"/>
    </row>
    <row r="55" spans="2:12" x14ac:dyDescent="0.2">
      <c r="B55" s="1"/>
      <c r="C55" s="1"/>
      <c r="D55" s="1"/>
      <c r="E55" s="1"/>
      <c r="F55" s="1"/>
      <c r="G55" s="1"/>
      <c r="H55" s="1"/>
      <c r="I55" s="1"/>
      <c r="J55" s="1"/>
      <c r="K55" s="1"/>
      <c r="L55" s="1"/>
    </row>
    <row r="56" spans="2:12" x14ac:dyDescent="0.2">
      <c r="B56" s="1"/>
      <c r="C56" s="1"/>
      <c r="D56" s="1"/>
      <c r="E56" s="1"/>
      <c r="F56" s="1"/>
      <c r="G56" s="1"/>
      <c r="H56" s="1"/>
      <c r="I56" s="1"/>
      <c r="J56" s="1"/>
      <c r="K56" s="1"/>
      <c r="L56" s="1"/>
    </row>
    <row r="57" spans="2:12" x14ac:dyDescent="0.2">
      <c r="B57" s="1"/>
      <c r="C57" s="1"/>
      <c r="D57" s="1"/>
      <c r="E57" s="1"/>
      <c r="F57" s="1"/>
      <c r="G57" s="1"/>
      <c r="H57" s="1"/>
      <c r="I57" s="1"/>
      <c r="J57" s="1"/>
      <c r="K57" s="1"/>
      <c r="L57" s="1"/>
    </row>
    <row r="58" spans="2:12" x14ac:dyDescent="0.2">
      <c r="B58" s="1"/>
      <c r="C58" s="1"/>
      <c r="D58" s="1"/>
      <c r="E58" s="1"/>
      <c r="F58" s="1"/>
      <c r="G58" s="1"/>
      <c r="H58" s="1"/>
      <c r="I58" s="1"/>
      <c r="J58" s="1"/>
      <c r="K58" s="1"/>
      <c r="L58" s="1"/>
    </row>
    <row r="59" spans="2:12" x14ac:dyDescent="0.2">
      <c r="B59" s="1"/>
      <c r="C59" s="1"/>
      <c r="D59" s="1"/>
      <c r="E59" s="1"/>
      <c r="F59" s="1"/>
      <c r="G59" s="1"/>
      <c r="H59" s="1"/>
      <c r="I59" s="1"/>
      <c r="J59" s="1"/>
      <c r="K59" s="1"/>
      <c r="L59" s="1"/>
    </row>
    <row r="60" spans="2:12" x14ac:dyDescent="0.2">
      <c r="B60" s="1"/>
      <c r="C60" s="1"/>
      <c r="D60" s="1"/>
      <c r="E60" s="1"/>
      <c r="F60" s="1"/>
      <c r="G60" s="1"/>
      <c r="H60" s="1"/>
      <c r="I60" s="1"/>
      <c r="J60" s="1"/>
      <c r="K60" s="1"/>
      <c r="L60" s="1"/>
    </row>
    <row r="61" spans="2:12" x14ac:dyDescent="0.2">
      <c r="B61" s="1"/>
      <c r="C61" s="1"/>
      <c r="D61" s="1"/>
      <c r="E61" s="1"/>
      <c r="F61" s="1"/>
      <c r="G61" s="1"/>
      <c r="H61" s="1"/>
      <c r="I61" s="1"/>
      <c r="J61" s="1"/>
      <c r="K61" s="1"/>
      <c r="L61" s="1"/>
    </row>
    <row r="62" spans="2:12" x14ac:dyDescent="0.2">
      <c r="B62" s="1"/>
      <c r="C62" s="1"/>
      <c r="D62" s="1"/>
      <c r="E62" s="1"/>
      <c r="F62" s="1"/>
      <c r="G62" s="1"/>
      <c r="H62" s="1"/>
      <c r="I62" s="1"/>
      <c r="J62" s="1"/>
      <c r="K62" s="1"/>
      <c r="L62" s="1"/>
    </row>
    <row r="63" spans="2:12" x14ac:dyDescent="0.2">
      <c r="B63" s="1"/>
      <c r="C63" s="1"/>
      <c r="D63" s="1"/>
      <c r="E63" s="1"/>
      <c r="F63" s="1"/>
      <c r="G63" s="1"/>
      <c r="H63" s="1"/>
      <c r="I63" s="1"/>
      <c r="J63" s="1"/>
      <c r="K63" s="1"/>
      <c r="L63" s="1"/>
    </row>
    <row r="64" spans="2:12" x14ac:dyDescent="0.2">
      <c r="B64" s="1"/>
      <c r="C64" s="1"/>
      <c r="D64" s="1"/>
      <c r="E64" s="1"/>
      <c r="F64" s="1"/>
      <c r="G64" s="1"/>
      <c r="H64" s="1"/>
      <c r="I64" s="1"/>
      <c r="J64" s="1"/>
      <c r="K64" s="1"/>
      <c r="L64" s="1"/>
    </row>
    <row r="65" spans="2:12" x14ac:dyDescent="0.2">
      <c r="B65" s="1"/>
      <c r="C65" s="1"/>
      <c r="D65" s="1"/>
      <c r="E65" s="1"/>
      <c r="F65" s="1"/>
      <c r="G65" s="1"/>
      <c r="H65" s="1"/>
      <c r="I65" s="1"/>
      <c r="J65" s="1"/>
      <c r="K65" s="1"/>
      <c r="L65" s="1"/>
    </row>
    <row r="66" spans="2:12" x14ac:dyDescent="0.2">
      <c r="B66" s="1"/>
      <c r="C66" s="1"/>
      <c r="D66" s="1"/>
      <c r="E66" s="1"/>
      <c r="F66" s="1"/>
      <c r="G66" s="1"/>
      <c r="H66" s="1"/>
      <c r="I66" s="1"/>
      <c r="J66" s="1"/>
      <c r="K66" s="1"/>
      <c r="L66" s="1"/>
    </row>
    <row r="67" spans="2:12" x14ac:dyDescent="0.2">
      <c r="B67" s="1"/>
      <c r="C67" s="1"/>
      <c r="D67" s="1"/>
      <c r="E67" s="1"/>
      <c r="F67" s="1"/>
      <c r="G67" s="1"/>
      <c r="H67" s="1"/>
      <c r="I67" s="1"/>
      <c r="J67" s="1"/>
      <c r="K67" s="1"/>
      <c r="L67" s="1"/>
    </row>
    <row r="68" spans="2:12" x14ac:dyDescent="0.2">
      <c r="B68" s="1"/>
      <c r="C68" s="1"/>
      <c r="D68" s="1"/>
      <c r="E68" s="1"/>
      <c r="F68" s="1"/>
      <c r="G68" s="1"/>
      <c r="H68" s="1"/>
      <c r="I68" s="1"/>
      <c r="J68" s="1"/>
      <c r="K68" s="1"/>
      <c r="L68" s="1"/>
    </row>
    <row r="69" spans="2:12" x14ac:dyDescent="0.2">
      <c r="B69" s="1"/>
      <c r="C69" s="1"/>
      <c r="D69" s="1"/>
      <c r="E69" s="1"/>
      <c r="F69" s="1"/>
      <c r="G69" s="1"/>
      <c r="H69" s="1"/>
      <c r="I69" s="1"/>
      <c r="J69" s="1"/>
      <c r="K69" s="1"/>
      <c r="L69" s="1"/>
    </row>
    <row r="70" spans="2:12" x14ac:dyDescent="0.2">
      <c r="B70" s="1"/>
      <c r="C70" s="1"/>
      <c r="D70" s="1"/>
      <c r="E70" s="1"/>
      <c r="F70" s="1"/>
      <c r="G70" s="1"/>
      <c r="H70" s="1"/>
      <c r="I70" s="1"/>
      <c r="J70" s="1"/>
      <c r="K70" s="1"/>
      <c r="L70" s="1"/>
    </row>
    <row r="71" spans="2:12" x14ac:dyDescent="0.2">
      <c r="B71" s="1"/>
      <c r="C71" s="1"/>
      <c r="D71" s="1"/>
      <c r="E71" s="1"/>
      <c r="F71" s="1"/>
      <c r="G71" s="1"/>
      <c r="H71" s="1"/>
      <c r="I71" s="1"/>
      <c r="J71" s="1"/>
      <c r="K71" s="1"/>
      <c r="L71" s="1"/>
    </row>
    <row r="72" spans="2:12" x14ac:dyDescent="0.2">
      <c r="B72" s="1"/>
      <c r="C72" s="1"/>
      <c r="D72" s="1"/>
      <c r="E72" s="1"/>
      <c r="F72" s="1"/>
      <c r="G72" s="1"/>
      <c r="H72" s="1"/>
      <c r="I72" s="1"/>
      <c r="J72" s="1"/>
      <c r="K72" s="1"/>
      <c r="L72" s="1"/>
    </row>
    <row r="73" spans="2:12" x14ac:dyDescent="0.2">
      <c r="B73" s="1"/>
      <c r="C73" s="1"/>
      <c r="D73" s="1"/>
      <c r="E73" s="1"/>
      <c r="F73" s="1"/>
      <c r="G73" s="1"/>
      <c r="H73" s="1"/>
      <c r="I73" s="1"/>
      <c r="J73" s="1"/>
      <c r="K73" s="1"/>
      <c r="L73" s="1"/>
    </row>
    <row r="74" spans="2:12" x14ac:dyDescent="0.2">
      <c r="B74" s="1"/>
      <c r="C74" s="1"/>
      <c r="D74" s="1"/>
      <c r="E74" s="1"/>
      <c r="F74" s="1"/>
      <c r="G74" s="1"/>
      <c r="H74" s="1"/>
      <c r="I74" s="1"/>
      <c r="J74" s="1"/>
      <c r="K74" s="1"/>
      <c r="L74" s="1"/>
    </row>
    <row r="75" spans="2:12" x14ac:dyDescent="0.2">
      <c r="B75" s="1"/>
      <c r="C75" s="1"/>
      <c r="D75" s="1"/>
      <c r="E75" s="1"/>
      <c r="F75" s="1"/>
      <c r="G75" s="1"/>
      <c r="H75" s="1"/>
      <c r="I75" s="1"/>
      <c r="J75" s="1"/>
      <c r="K75" s="1"/>
      <c r="L75" s="1"/>
    </row>
    <row r="76" spans="2:12" x14ac:dyDescent="0.2">
      <c r="B76" s="1"/>
      <c r="C76" s="1"/>
      <c r="D76" s="1"/>
      <c r="E76" s="1"/>
      <c r="F76" s="1"/>
      <c r="G76" s="1"/>
      <c r="H76" s="1"/>
      <c r="I76" s="1"/>
      <c r="J76" s="1"/>
      <c r="K76" s="1"/>
      <c r="L76" s="1"/>
    </row>
    <row r="77" spans="2:12" x14ac:dyDescent="0.2">
      <c r="B77" s="1"/>
      <c r="C77" s="1"/>
      <c r="D77" s="1"/>
      <c r="E77" s="1"/>
      <c r="F77" s="1"/>
      <c r="G77" s="1"/>
      <c r="H77" s="1"/>
      <c r="I77" s="1"/>
      <c r="J77" s="1"/>
      <c r="K77" s="1"/>
      <c r="L77" s="1"/>
    </row>
    <row r="78" spans="2:12" x14ac:dyDescent="0.2">
      <c r="B78" s="1"/>
      <c r="C78" s="1"/>
      <c r="D78" s="1"/>
      <c r="E78" s="1"/>
      <c r="F78" s="1"/>
      <c r="G78" s="1"/>
      <c r="H78" s="1"/>
      <c r="I78" s="1"/>
      <c r="J78" s="1"/>
      <c r="K78" s="1"/>
      <c r="L78" s="1"/>
    </row>
    <row r="79" spans="2:12" x14ac:dyDescent="0.2">
      <c r="B79" s="1"/>
      <c r="C79" s="1"/>
      <c r="D79" s="1"/>
      <c r="E79" s="1"/>
      <c r="F79" s="1"/>
      <c r="G79" s="1"/>
      <c r="H79" s="1"/>
      <c r="I79" s="1"/>
      <c r="J79" s="1"/>
      <c r="K79" s="1"/>
      <c r="L79" s="1"/>
    </row>
    <row r="80" spans="2:12" x14ac:dyDescent="0.2">
      <c r="B80" s="1"/>
      <c r="C80" s="1"/>
      <c r="D80" s="1"/>
      <c r="E80" s="1"/>
      <c r="F80" s="1"/>
      <c r="G80" s="1"/>
      <c r="H80" s="1"/>
      <c r="I80" s="1"/>
      <c r="J80" s="1"/>
      <c r="K80" s="1"/>
      <c r="L80" s="1"/>
    </row>
    <row r="81" spans="2:12" x14ac:dyDescent="0.2">
      <c r="B81" s="1"/>
      <c r="C81" s="1"/>
      <c r="D81" s="1"/>
      <c r="E81" s="1"/>
      <c r="F81" s="1"/>
      <c r="G81" s="1"/>
      <c r="H81" s="1"/>
      <c r="I81" s="1"/>
      <c r="J81" s="1"/>
      <c r="K81" s="1"/>
      <c r="L81" s="1"/>
    </row>
    <row r="82" spans="2:12" x14ac:dyDescent="0.2">
      <c r="B82" s="1"/>
      <c r="C82" s="1"/>
      <c r="D82" s="1"/>
      <c r="E82" s="1"/>
      <c r="F82" s="1"/>
      <c r="G82" s="1"/>
      <c r="H82" s="1"/>
      <c r="I82" s="1"/>
      <c r="J82" s="1"/>
      <c r="K82" s="1"/>
      <c r="L82" s="1"/>
    </row>
    <row r="83" spans="2:12" x14ac:dyDescent="0.2">
      <c r="B83" s="1"/>
      <c r="C83" s="1"/>
      <c r="D83" s="1"/>
      <c r="E83" s="1"/>
      <c r="F83" s="1"/>
      <c r="G83" s="1"/>
      <c r="H83" s="1"/>
      <c r="I83" s="1"/>
      <c r="J83" s="1"/>
      <c r="K83" s="1"/>
      <c r="L83" s="1"/>
    </row>
    <row r="84" spans="2:12" x14ac:dyDescent="0.2">
      <c r="B84" s="1"/>
      <c r="C84" s="1"/>
      <c r="D84" s="1"/>
      <c r="E84" s="1"/>
      <c r="F84" s="1"/>
      <c r="G84" s="1"/>
      <c r="H84" s="1"/>
      <c r="I84" s="1"/>
      <c r="J84" s="1"/>
      <c r="K84" s="1"/>
      <c r="L84" s="1"/>
    </row>
    <row r="85" spans="2:12" x14ac:dyDescent="0.2">
      <c r="B85" s="1"/>
      <c r="C85" s="1"/>
      <c r="D85" s="1"/>
      <c r="E85" s="1"/>
      <c r="F85" s="1"/>
      <c r="G85" s="1"/>
      <c r="H85" s="1"/>
      <c r="I85" s="1"/>
      <c r="J85" s="1"/>
      <c r="K85" s="1"/>
      <c r="L85" s="1"/>
    </row>
    <row r="86" spans="2:12" x14ac:dyDescent="0.2">
      <c r="B86" s="1"/>
      <c r="C86" s="1"/>
      <c r="D86" s="1"/>
      <c r="E86" s="1"/>
      <c r="F86" s="1"/>
      <c r="G86" s="1"/>
      <c r="H86" s="1"/>
      <c r="I86" s="1"/>
      <c r="J86" s="1"/>
      <c r="K86" s="1"/>
      <c r="L86" s="1"/>
    </row>
    <row r="87" spans="2:12" x14ac:dyDescent="0.2">
      <c r="B87" s="1"/>
      <c r="C87" s="1"/>
      <c r="D87" s="1"/>
      <c r="E87" s="1"/>
      <c r="F87" s="1"/>
      <c r="G87" s="1"/>
      <c r="H87" s="1"/>
      <c r="I87" s="1"/>
      <c r="J87" s="1"/>
      <c r="K87" s="1"/>
      <c r="L87" s="1"/>
    </row>
    <row r="88" spans="2:12" x14ac:dyDescent="0.2">
      <c r="B88" s="1"/>
      <c r="C88" s="1"/>
      <c r="D88" s="1"/>
      <c r="E88" s="1"/>
      <c r="F88" s="1"/>
      <c r="G88" s="1"/>
      <c r="H88" s="1"/>
      <c r="I88" s="1"/>
      <c r="J88" s="1"/>
      <c r="K88" s="1"/>
      <c r="L88" s="1"/>
    </row>
    <row r="89" spans="2:12" x14ac:dyDescent="0.2">
      <c r="B89" s="1"/>
      <c r="C89" s="1"/>
      <c r="D89" s="1"/>
      <c r="E89" s="1"/>
      <c r="F89" s="1"/>
      <c r="G89" s="1"/>
      <c r="H89" s="1"/>
      <c r="I89" s="1"/>
      <c r="J89" s="1"/>
      <c r="K89" s="1"/>
      <c r="L89" s="1"/>
    </row>
    <row r="90" spans="2:12" x14ac:dyDescent="0.2">
      <c r="B90" s="1"/>
      <c r="C90" s="1"/>
      <c r="D90" s="1"/>
      <c r="E90" s="1"/>
      <c r="F90" s="1"/>
      <c r="G90" s="1"/>
      <c r="H90" s="1"/>
      <c r="I90" s="1"/>
      <c r="J90" s="1"/>
      <c r="K90" s="1"/>
      <c r="L90" s="1"/>
    </row>
    <row r="91" spans="2:12" x14ac:dyDescent="0.2">
      <c r="B91" s="1"/>
      <c r="C91" s="1"/>
      <c r="D91" s="1"/>
      <c r="E91" s="1"/>
      <c r="F91" s="1"/>
      <c r="G91" s="1"/>
      <c r="H91" s="1"/>
      <c r="I91" s="1"/>
      <c r="J91" s="1"/>
      <c r="K91" s="1"/>
      <c r="L91" s="1"/>
    </row>
    <row r="92" spans="2:12" x14ac:dyDescent="0.2">
      <c r="B92" s="1"/>
      <c r="C92" s="1"/>
      <c r="D92" s="1"/>
      <c r="E92" s="1"/>
      <c r="F92" s="1"/>
      <c r="G92" s="1"/>
      <c r="H92" s="1"/>
      <c r="I92" s="1"/>
      <c r="J92" s="1"/>
      <c r="K92" s="1"/>
      <c r="L92" s="1"/>
    </row>
  </sheetData>
  <phoneticPr fontId="0" type="noConversion"/>
  <pageMargins left="0.5" right="0.5" top="0.75" bottom="0.75" header="0.5" footer="0.5"/>
  <pageSetup scale="90" orientation="landscape" r:id="rId1"/>
  <headerFooter alignWithMargins="0">
    <oddHeader>&amp;CAPPENDIX x
Fiscal Year 2001 Retirees</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F56"/>
  <sheetViews>
    <sheetView topLeftCell="AM1" workbookViewId="0">
      <selection activeCell="AV6" sqref="AV6:BF6"/>
    </sheetView>
  </sheetViews>
  <sheetFormatPr defaultRowHeight="12.75" x14ac:dyDescent="0.2"/>
  <cols>
    <col min="1" max="1" width="2.7109375" style="59" customWidth="1"/>
    <col min="2" max="2" width="12.5703125" customWidth="1"/>
    <col min="3" max="10" width="7.7109375" customWidth="1"/>
    <col min="11" max="11" width="1.7109375" customWidth="1"/>
    <col min="12" max="12" width="11.85546875" customWidth="1"/>
    <col min="13" max="14" width="9.5703125" customWidth="1"/>
    <col min="16" max="17" width="10.85546875" bestFit="1" customWidth="1"/>
    <col min="18" max="22" width="10.85546875" customWidth="1"/>
    <col min="23" max="23" width="12.5703125" customWidth="1"/>
    <col min="24" max="44" width="10.85546875" customWidth="1"/>
  </cols>
  <sheetData>
    <row r="2" spans="1:58" x14ac:dyDescent="0.2">
      <c r="A2" s="165"/>
      <c r="B2" s="454" t="s">
        <v>218</v>
      </c>
      <c r="C2" s="455" t="s">
        <v>219</v>
      </c>
      <c r="D2" s="455" t="s">
        <v>220</v>
      </c>
      <c r="E2" s="455" t="s">
        <v>221</v>
      </c>
      <c r="F2" s="455" t="s">
        <v>222</v>
      </c>
      <c r="G2" s="455" t="s">
        <v>211</v>
      </c>
      <c r="H2" s="455" t="s">
        <v>223</v>
      </c>
      <c r="I2" s="455" t="s">
        <v>224</v>
      </c>
      <c r="J2" s="455" t="s">
        <v>225</v>
      </c>
      <c r="K2" s="455"/>
      <c r="L2" s="455" t="s">
        <v>226</v>
      </c>
      <c r="M2" s="455" t="s">
        <v>227</v>
      </c>
      <c r="N2" s="455" t="s">
        <v>303</v>
      </c>
    </row>
    <row r="3" spans="1:58" x14ac:dyDescent="0.2">
      <c r="B3" s="365"/>
      <c r="C3" s="174" t="s">
        <v>141</v>
      </c>
      <c r="D3" s="174"/>
      <c r="E3" s="175"/>
      <c r="F3" s="175"/>
      <c r="G3" s="175"/>
      <c r="H3" s="175"/>
      <c r="I3" s="175"/>
      <c r="J3" s="176"/>
      <c r="K3" s="372"/>
      <c r="L3" s="44" t="s">
        <v>272</v>
      </c>
      <c r="M3" s="44" t="s">
        <v>272</v>
      </c>
      <c r="N3" s="44" t="s">
        <v>205</v>
      </c>
    </row>
    <row r="4" spans="1:58" x14ac:dyDescent="0.2">
      <c r="B4" s="365"/>
      <c r="C4" s="174" t="s">
        <v>166</v>
      </c>
      <c r="D4" s="505" t="s">
        <v>200</v>
      </c>
      <c r="E4" s="505"/>
      <c r="F4" s="505"/>
      <c r="G4" s="505"/>
      <c r="H4" s="505"/>
      <c r="I4" s="505"/>
      <c r="J4" s="506"/>
      <c r="K4" s="373"/>
      <c r="L4" s="44" t="s">
        <v>86</v>
      </c>
      <c r="M4" s="44" t="s">
        <v>86</v>
      </c>
      <c r="N4" s="44" t="s">
        <v>274</v>
      </c>
      <c r="AT4" s="44"/>
      <c r="AU4" s="44"/>
    </row>
    <row r="5" spans="1:58" ht="13.5" thickBot="1" x14ac:dyDescent="0.25">
      <c r="B5" s="366" t="s">
        <v>153</v>
      </c>
      <c r="C5" s="346" t="s">
        <v>108</v>
      </c>
      <c r="D5" s="177" t="s">
        <v>188</v>
      </c>
      <c r="E5" s="177" t="s">
        <v>167</v>
      </c>
      <c r="F5" s="177" t="s">
        <v>168</v>
      </c>
      <c r="G5" s="177" t="s">
        <v>154</v>
      </c>
      <c r="H5" s="177" t="s">
        <v>155</v>
      </c>
      <c r="I5" s="177" t="s">
        <v>156</v>
      </c>
      <c r="J5" s="178" t="s">
        <v>189</v>
      </c>
      <c r="K5" s="374"/>
      <c r="L5" s="371" t="s">
        <v>278</v>
      </c>
      <c r="M5" s="371" t="s">
        <v>277</v>
      </c>
      <c r="N5" s="174" t="s">
        <v>273</v>
      </c>
      <c r="P5" s="508" t="s">
        <v>116</v>
      </c>
      <c r="Q5" s="508"/>
      <c r="R5" s="507" t="s">
        <v>174</v>
      </c>
      <c r="S5" s="507"/>
      <c r="T5" s="45" t="s">
        <v>182</v>
      </c>
      <c r="U5" s="45"/>
      <c r="V5" s="507" t="s">
        <v>173</v>
      </c>
      <c r="W5" s="507"/>
      <c r="X5" s="45" t="s">
        <v>183</v>
      </c>
      <c r="Y5" s="45"/>
      <c r="Z5" s="507" t="s">
        <v>175</v>
      </c>
      <c r="AA5" s="507"/>
      <c r="AB5" s="45" t="s">
        <v>184</v>
      </c>
      <c r="AC5" s="45"/>
      <c r="AD5" s="507" t="s">
        <v>178</v>
      </c>
      <c r="AE5" s="507"/>
      <c r="AF5" s="45" t="s">
        <v>185</v>
      </c>
      <c r="AG5" s="45"/>
      <c r="AH5" s="507" t="s">
        <v>179</v>
      </c>
      <c r="AI5" s="507"/>
      <c r="AJ5" s="45" t="s">
        <v>186</v>
      </c>
      <c r="AK5" s="45"/>
      <c r="AL5" s="507" t="s">
        <v>180</v>
      </c>
      <c r="AM5" s="507"/>
      <c r="AN5" s="45" t="s">
        <v>187</v>
      </c>
      <c r="AO5" s="45"/>
      <c r="AP5" s="507" t="s">
        <v>181</v>
      </c>
      <c r="AQ5" s="507"/>
      <c r="AR5" s="64"/>
      <c r="AT5" s="44"/>
      <c r="AU5" s="44"/>
    </row>
    <row r="6" spans="1:58" s="59" customFormat="1" x14ac:dyDescent="0.2">
      <c r="C6" s="164"/>
      <c r="D6" s="164"/>
      <c r="N6" s="446" t="s">
        <v>232</v>
      </c>
      <c r="O6" s="165"/>
      <c r="P6" s="166" t="s">
        <v>127</v>
      </c>
      <c r="Q6" s="167" t="s">
        <v>127</v>
      </c>
      <c r="R6" s="225" t="s">
        <v>3</v>
      </c>
      <c r="S6" s="226" t="s">
        <v>3</v>
      </c>
      <c r="T6" s="168" t="s">
        <v>127</v>
      </c>
      <c r="U6" s="169" t="s">
        <v>127</v>
      </c>
      <c r="V6" s="225" t="s">
        <v>3</v>
      </c>
      <c r="W6" s="226" t="s">
        <v>3</v>
      </c>
      <c r="X6" s="168" t="s">
        <v>127</v>
      </c>
      <c r="Y6" s="169" t="s">
        <v>127</v>
      </c>
      <c r="Z6" s="225" t="s">
        <v>3</v>
      </c>
      <c r="AA6" s="226" t="s">
        <v>3</v>
      </c>
      <c r="AB6" s="168" t="s">
        <v>127</v>
      </c>
      <c r="AC6" s="169" t="s">
        <v>127</v>
      </c>
      <c r="AD6" s="225" t="s">
        <v>3</v>
      </c>
      <c r="AE6" s="226" t="s">
        <v>3</v>
      </c>
      <c r="AF6" s="168" t="s">
        <v>127</v>
      </c>
      <c r="AG6" s="169" t="s">
        <v>127</v>
      </c>
      <c r="AH6" s="225" t="s">
        <v>3</v>
      </c>
      <c r="AI6" s="226" t="s">
        <v>3</v>
      </c>
      <c r="AJ6" s="168" t="s">
        <v>127</v>
      </c>
      <c r="AK6" s="169" t="s">
        <v>127</v>
      </c>
      <c r="AL6" s="225" t="s">
        <v>3</v>
      </c>
      <c r="AM6" s="226" t="s">
        <v>3</v>
      </c>
      <c r="AN6" s="168" t="s">
        <v>127</v>
      </c>
      <c r="AO6" s="169" t="s">
        <v>127</v>
      </c>
      <c r="AP6" s="225" t="s">
        <v>3</v>
      </c>
      <c r="AQ6" s="226" t="s">
        <v>3</v>
      </c>
      <c r="AR6" s="186"/>
      <c r="AV6" s="163"/>
      <c r="AW6" s="163"/>
      <c r="AX6" s="163"/>
      <c r="AY6" s="227"/>
      <c r="AZ6" s="163"/>
      <c r="BA6" s="170"/>
      <c r="BB6" s="171"/>
      <c r="BC6" s="171"/>
      <c r="BD6" s="171"/>
      <c r="BE6" s="171"/>
      <c r="BF6" s="163"/>
    </row>
    <row r="7" spans="1:58" x14ac:dyDescent="0.2">
      <c r="A7" s="59">
        <v>1</v>
      </c>
      <c r="B7" s="368" t="s">
        <v>154</v>
      </c>
      <c r="C7" s="367">
        <f>DCOUNT(NotRetired0102,"Current Age",Tier1)</f>
        <v>0</v>
      </c>
      <c r="D7" s="63">
        <f>DCOUNT(NotRetired0102,"Years Service",TierA1)</f>
        <v>0</v>
      </c>
      <c r="E7" s="63">
        <f>DCOUNT(NotRetired0102,"Years Service",TierB1)</f>
        <v>0</v>
      </c>
      <c r="F7" s="63">
        <f>DCOUNT(NotRetired0102,"Years Service",TierC1)</f>
        <v>0</v>
      </c>
      <c r="G7" s="63">
        <f>DCOUNT(NotRetired0102,"Years Service",TierD1)</f>
        <v>0</v>
      </c>
      <c r="H7" s="63">
        <f>DCOUNT(NotRetired0102,"Years Service",TierE1)</f>
        <v>0</v>
      </c>
      <c r="I7" s="63">
        <f>DCOUNT(NotRetired0102,"Years Service",TierF1)</f>
        <v>0</v>
      </c>
      <c r="J7" s="63">
        <f>DCOUNT(NotRetired0102,"Years Service",TierG1)</f>
        <v>0</v>
      </c>
      <c r="K7" s="63"/>
      <c r="L7" s="369" t="e">
        <f>(SUMPRODUCT(D7:J7,$D$33:$J$33))/(SUM(D7:J7))</f>
        <v>#DIV/0!</v>
      </c>
      <c r="M7" s="369" t="e">
        <f>(SUMPRODUCT(D7:J7,$D$35:$J$35))/(SUM(D7:J7))</f>
        <v>#DIV/0!</v>
      </c>
      <c r="N7" s="447">
        <v>0</v>
      </c>
      <c r="O7" t="s">
        <v>130</v>
      </c>
      <c r="P7" s="228" t="s">
        <v>129</v>
      </c>
      <c r="Q7" s="49" t="s">
        <v>152</v>
      </c>
      <c r="R7" s="229" t="s">
        <v>169</v>
      </c>
      <c r="S7" s="50" t="s">
        <v>170</v>
      </c>
      <c r="T7" s="228" t="s">
        <v>129</v>
      </c>
      <c r="U7" s="49" t="s">
        <v>152</v>
      </c>
      <c r="V7" s="229" t="s">
        <v>171</v>
      </c>
      <c r="W7" s="50" t="s">
        <v>172</v>
      </c>
      <c r="X7" s="228" t="s">
        <v>129</v>
      </c>
      <c r="Y7" s="49" t="s">
        <v>152</v>
      </c>
      <c r="Z7" s="229" t="s">
        <v>176</v>
      </c>
      <c r="AA7" s="50" t="s">
        <v>177</v>
      </c>
      <c r="AB7" s="228" t="s">
        <v>129</v>
      </c>
      <c r="AC7" s="49" t="s">
        <v>152</v>
      </c>
      <c r="AD7" s="229" t="s">
        <v>129</v>
      </c>
      <c r="AE7" s="50" t="s">
        <v>152</v>
      </c>
      <c r="AF7" s="228" t="s">
        <v>129</v>
      </c>
      <c r="AG7" s="49" t="s">
        <v>152</v>
      </c>
      <c r="AH7" s="229" t="s">
        <v>117</v>
      </c>
      <c r="AI7" s="50" t="s">
        <v>151</v>
      </c>
      <c r="AJ7" s="228" t="s">
        <v>129</v>
      </c>
      <c r="AK7" s="49" t="s">
        <v>152</v>
      </c>
      <c r="AL7" s="229" t="s">
        <v>118</v>
      </c>
      <c r="AM7" s="50" t="s">
        <v>150</v>
      </c>
      <c r="AN7" s="228" t="s">
        <v>129</v>
      </c>
      <c r="AO7" s="49" t="s">
        <v>152</v>
      </c>
      <c r="AP7" s="229" t="s">
        <v>119</v>
      </c>
      <c r="AQ7" s="50"/>
      <c r="AR7" s="49"/>
      <c r="AT7" s="38"/>
    </row>
    <row r="8" spans="1:58" s="55" customFormat="1" x14ac:dyDescent="0.2">
      <c r="A8" s="59"/>
      <c r="B8" s="59"/>
      <c r="C8" s="63"/>
      <c r="D8" s="63"/>
      <c r="E8" s="59"/>
      <c r="F8" s="59"/>
      <c r="G8" s="59"/>
      <c r="H8" s="59"/>
      <c r="I8" s="59"/>
      <c r="J8" s="59"/>
      <c r="K8" s="59"/>
      <c r="L8" s="370"/>
      <c r="M8" s="370"/>
      <c r="N8" s="448"/>
      <c r="P8" s="56" t="s">
        <v>127</v>
      </c>
      <c r="Q8" s="57" t="s">
        <v>127</v>
      </c>
      <c r="R8" s="230" t="s">
        <v>3</v>
      </c>
      <c r="S8" s="231" t="s">
        <v>3</v>
      </c>
      <c r="T8" s="56" t="s">
        <v>127</v>
      </c>
      <c r="U8" s="57" t="s">
        <v>127</v>
      </c>
      <c r="V8" s="230" t="s">
        <v>3</v>
      </c>
      <c r="W8" s="231" t="s">
        <v>3</v>
      </c>
      <c r="X8" s="56" t="s">
        <v>127</v>
      </c>
      <c r="Y8" s="57" t="s">
        <v>127</v>
      </c>
      <c r="Z8" s="230" t="s">
        <v>3</v>
      </c>
      <c r="AA8" s="231" t="s">
        <v>3</v>
      </c>
      <c r="AB8" s="56" t="s">
        <v>127</v>
      </c>
      <c r="AC8" s="57" t="s">
        <v>127</v>
      </c>
      <c r="AD8" s="230" t="s">
        <v>3</v>
      </c>
      <c r="AE8" s="231" t="s">
        <v>3</v>
      </c>
      <c r="AF8" s="56" t="s">
        <v>127</v>
      </c>
      <c r="AG8" s="57" t="s">
        <v>127</v>
      </c>
      <c r="AH8" s="230" t="s">
        <v>3</v>
      </c>
      <c r="AI8" s="231" t="s">
        <v>3</v>
      </c>
      <c r="AJ8" s="56" t="s">
        <v>127</v>
      </c>
      <c r="AK8" s="57" t="s">
        <v>127</v>
      </c>
      <c r="AL8" s="230" t="s">
        <v>3</v>
      </c>
      <c r="AM8" s="231" t="s">
        <v>3</v>
      </c>
      <c r="AN8" s="56" t="s">
        <v>127</v>
      </c>
      <c r="AO8" s="57" t="s">
        <v>127</v>
      </c>
      <c r="AP8" s="230" t="s">
        <v>3</v>
      </c>
      <c r="AQ8" s="231" t="s">
        <v>3</v>
      </c>
      <c r="AR8" s="230"/>
      <c r="AT8" s="58"/>
      <c r="AU8" s="58"/>
    </row>
    <row r="9" spans="1:58" x14ac:dyDescent="0.2">
      <c r="A9" s="59">
        <v>2</v>
      </c>
      <c r="B9" s="368" t="s">
        <v>155</v>
      </c>
      <c r="C9" s="63">
        <f>DCOUNT(NotRetired0102,"Current Age",Tier2)</f>
        <v>0</v>
      </c>
      <c r="D9" s="63">
        <f>DCOUNT(NotRetired0102,"Years Service",TierA2)</f>
        <v>0</v>
      </c>
      <c r="E9" s="63">
        <f>DCOUNT(NotRetired0102,"Years Service",TierB2)</f>
        <v>0</v>
      </c>
      <c r="F9" s="63">
        <f>DCOUNT(NotRetired0102,"Years Service",TierC2)</f>
        <v>0</v>
      </c>
      <c r="G9" s="63">
        <f>DCOUNT(NotRetired0102,"Years Service",TierD2)</f>
        <v>0</v>
      </c>
      <c r="H9" s="63">
        <f>DCOUNT(NotRetired0102,"Years Service",TierE2)</f>
        <v>0</v>
      </c>
      <c r="I9" s="63">
        <f>DCOUNT(NotRetired0102,"Years Service",TierF2)</f>
        <v>0</v>
      </c>
      <c r="J9" s="63">
        <f>DCOUNT(NotRetired0102,"Years Service",TierG2)</f>
        <v>0</v>
      </c>
      <c r="K9" s="63"/>
      <c r="L9" s="369" t="e">
        <f>(SUMPRODUCT(D9:J9,$D$33:$J$33))/(SUM(D9:J9))</f>
        <v>#DIV/0!</v>
      </c>
      <c r="M9" s="369" t="e">
        <f>(SUMPRODUCT(D9:J9,$D$35:$J$35))/(SUM(D9:J9))</f>
        <v>#DIV/0!</v>
      </c>
      <c r="N9" s="447">
        <v>0</v>
      </c>
      <c r="O9" t="s">
        <v>131</v>
      </c>
      <c r="P9" s="51" t="s">
        <v>117</v>
      </c>
      <c r="Q9" s="49" t="s">
        <v>151</v>
      </c>
      <c r="R9" s="229" t="s">
        <v>169</v>
      </c>
      <c r="S9" s="50" t="s">
        <v>170</v>
      </c>
      <c r="T9" s="51" t="s">
        <v>117</v>
      </c>
      <c r="U9" s="49" t="s">
        <v>151</v>
      </c>
      <c r="V9" s="229" t="s">
        <v>171</v>
      </c>
      <c r="W9" s="50" t="s">
        <v>172</v>
      </c>
      <c r="X9" s="51" t="s">
        <v>117</v>
      </c>
      <c r="Y9" s="49" t="s">
        <v>151</v>
      </c>
      <c r="Z9" s="229" t="s">
        <v>176</v>
      </c>
      <c r="AA9" s="50" t="s">
        <v>177</v>
      </c>
      <c r="AB9" s="51" t="s">
        <v>117</v>
      </c>
      <c r="AC9" s="49" t="s">
        <v>151</v>
      </c>
      <c r="AD9" s="229" t="s">
        <v>129</v>
      </c>
      <c r="AE9" s="50" t="s">
        <v>152</v>
      </c>
      <c r="AF9" s="51" t="s">
        <v>117</v>
      </c>
      <c r="AG9" s="49" t="s">
        <v>151</v>
      </c>
      <c r="AH9" s="229" t="s">
        <v>117</v>
      </c>
      <c r="AI9" s="50" t="s">
        <v>151</v>
      </c>
      <c r="AJ9" s="51" t="s">
        <v>117</v>
      </c>
      <c r="AK9" s="49" t="s">
        <v>151</v>
      </c>
      <c r="AL9" s="229" t="s">
        <v>118</v>
      </c>
      <c r="AM9" s="50" t="s">
        <v>150</v>
      </c>
      <c r="AN9" s="51" t="s">
        <v>117</v>
      </c>
      <c r="AO9" s="49" t="s">
        <v>151</v>
      </c>
      <c r="AP9" s="229" t="s">
        <v>119</v>
      </c>
      <c r="AQ9" s="50"/>
      <c r="AR9" s="49"/>
      <c r="AT9" s="38"/>
      <c r="AU9" s="38"/>
    </row>
    <row r="10" spans="1:58" s="55" customFormat="1" x14ac:dyDescent="0.2">
      <c r="A10" s="59"/>
      <c r="B10" s="59"/>
      <c r="C10" s="63"/>
      <c r="D10" s="63"/>
      <c r="E10" s="59"/>
      <c r="F10" s="59"/>
      <c r="G10" s="59"/>
      <c r="H10" s="59"/>
      <c r="I10" s="59"/>
      <c r="J10" s="59"/>
      <c r="K10" s="59"/>
      <c r="L10" s="370"/>
      <c r="M10" s="370"/>
      <c r="N10" s="448"/>
      <c r="P10" s="56" t="s">
        <v>127</v>
      </c>
      <c r="Q10" s="57" t="s">
        <v>127</v>
      </c>
      <c r="R10" s="230" t="s">
        <v>3</v>
      </c>
      <c r="S10" s="231" t="s">
        <v>3</v>
      </c>
      <c r="T10" s="56" t="s">
        <v>127</v>
      </c>
      <c r="U10" s="57" t="s">
        <v>127</v>
      </c>
      <c r="V10" s="230" t="s">
        <v>3</v>
      </c>
      <c r="W10" s="231" t="s">
        <v>3</v>
      </c>
      <c r="X10" s="56" t="s">
        <v>127</v>
      </c>
      <c r="Y10" s="57" t="s">
        <v>127</v>
      </c>
      <c r="Z10" s="230" t="s">
        <v>3</v>
      </c>
      <c r="AA10" s="231" t="s">
        <v>3</v>
      </c>
      <c r="AB10" s="56" t="s">
        <v>127</v>
      </c>
      <c r="AC10" s="57" t="s">
        <v>127</v>
      </c>
      <c r="AD10" s="230" t="s">
        <v>3</v>
      </c>
      <c r="AE10" s="231" t="s">
        <v>3</v>
      </c>
      <c r="AF10" s="56" t="s">
        <v>127</v>
      </c>
      <c r="AG10" s="57" t="s">
        <v>127</v>
      </c>
      <c r="AH10" s="230" t="s">
        <v>3</v>
      </c>
      <c r="AI10" s="231" t="s">
        <v>3</v>
      </c>
      <c r="AJ10" s="56" t="s">
        <v>127</v>
      </c>
      <c r="AK10" s="57" t="s">
        <v>127</v>
      </c>
      <c r="AL10" s="230" t="s">
        <v>3</v>
      </c>
      <c r="AM10" s="231" t="s">
        <v>3</v>
      </c>
      <c r="AN10" s="56" t="s">
        <v>127</v>
      </c>
      <c r="AO10" s="57" t="s">
        <v>127</v>
      </c>
      <c r="AP10" s="230" t="s">
        <v>3</v>
      </c>
      <c r="AQ10" s="231" t="s">
        <v>3</v>
      </c>
      <c r="AR10" s="230"/>
      <c r="AT10" s="58"/>
      <c r="AU10" s="58"/>
    </row>
    <row r="11" spans="1:58" x14ac:dyDescent="0.2">
      <c r="A11" s="59">
        <v>3</v>
      </c>
      <c r="B11" s="368" t="s">
        <v>156</v>
      </c>
      <c r="C11" s="58">
        <f>DCOUNT(NotRetired0102,"Current Age",Tier3)</f>
        <v>6</v>
      </c>
      <c r="D11" s="58">
        <f>DCOUNT(NotRetired0102,"Years Service",TierA3)</f>
        <v>6</v>
      </c>
      <c r="E11" s="63">
        <f>DCOUNT(NotRetired0102,"Years Service",TierB3)</f>
        <v>0</v>
      </c>
      <c r="F11" s="63">
        <f>DCOUNT(NotRetired0102,"Years Service",TierC3)</f>
        <v>0</v>
      </c>
      <c r="G11" s="63">
        <f>DCOUNT(NotRetired0102,"Years Service",TierD3)</f>
        <v>0</v>
      </c>
      <c r="H11" s="63">
        <f>DCOUNT(NotRetired0102,"Years Service",TierE3)</f>
        <v>0</v>
      </c>
      <c r="I11" s="63">
        <f>DCOUNT(NotRetired0102,"Years Service",TierF3)</f>
        <v>0</v>
      </c>
      <c r="J11" s="63">
        <f>DCOUNT(NotRetired0102,"Years Service",TierG3)</f>
        <v>0</v>
      </c>
      <c r="K11" s="63"/>
      <c r="L11" s="369">
        <f>(SUMPRODUCT(D11:J11,$D$33:$J$33))/(SUM(D11:J11))</f>
        <v>2000</v>
      </c>
      <c r="M11" s="369">
        <f>(SUMPRODUCT(D11:J11,$D$35:$J$35))/(SUM(D11:J11))</f>
        <v>3000</v>
      </c>
      <c r="N11" s="449" t="s">
        <v>304</v>
      </c>
      <c r="O11" t="s">
        <v>132</v>
      </c>
      <c r="P11" s="51" t="s">
        <v>118</v>
      </c>
      <c r="Q11" s="49" t="s">
        <v>150</v>
      </c>
      <c r="R11" s="229" t="s">
        <v>169</v>
      </c>
      <c r="S11" s="50" t="s">
        <v>170</v>
      </c>
      <c r="T11" s="51" t="s">
        <v>118</v>
      </c>
      <c r="U11" s="49" t="s">
        <v>150</v>
      </c>
      <c r="V11" s="229" t="s">
        <v>171</v>
      </c>
      <c r="W11" s="50" t="s">
        <v>172</v>
      </c>
      <c r="X11" s="51" t="s">
        <v>118</v>
      </c>
      <c r="Y11" s="49" t="s">
        <v>150</v>
      </c>
      <c r="Z11" s="229" t="s">
        <v>176</v>
      </c>
      <c r="AA11" s="50" t="s">
        <v>177</v>
      </c>
      <c r="AB11" s="51" t="s">
        <v>118</v>
      </c>
      <c r="AC11" s="49" t="s">
        <v>150</v>
      </c>
      <c r="AD11" s="229" t="s">
        <v>129</v>
      </c>
      <c r="AE11" s="50" t="s">
        <v>152</v>
      </c>
      <c r="AF11" s="51" t="s">
        <v>118</v>
      </c>
      <c r="AG11" s="49" t="s">
        <v>150</v>
      </c>
      <c r="AH11" s="229" t="s">
        <v>117</v>
      </c>
      <c r="AI11" s="50" t="s">
        <v>151</v>
      </c>
      <c r="AJ11" s="51" t="s">
        <v>118</v>
      </c>
      <c r="AK11" s="49" t="s">
        <v>150</v>
      </c>
      <c r="AL11" s="229" t="s">
        <v>118</v>
      </c>
      <c r="AM11" s="50" t="s">
        <v>150</v>
      </c>
      <c r="AN11" s="51" t="s">
        <v>118</v>
      </c>
      <c r="AO11" s="49" t="s">
        <v>150</v>
      </c>
      <c r="AP11" s="229" t="s">
        <v>119</v>
      </c>
      <c r="AQ11" s="50"/>
      <c r="AR11" s="49"/>
      <c r="AT11" s="38"/>
      <c r="AU11" s="38"/>
    </row>
    <row r="12" spans="1:58" s="55" customFormat="1" x14ac:dyDescent="0.2">
      <c r="A12" s="59"/>
      <c r="B12" s="59"/>
      <c r="C12" s="63"/>
      <c r="D12" s="63"/>
      <c r="E12" s="59"/>
      <c r="F12" s="59"/>
      <c r="G12" s="59"/>
      <c r="H12" s="59"/>
      <c r="I12" s="59"/>
      <c r="J12" s="59"/>
      <c r="K12" s="59"/>
      <c r="L12" s="370"/>
      <c r="M12" s="370"/>
      <c r="N12" s="448"/>
      <c r="P12" s="56" t="s">
        <v>127</v>
      </c>
      <c r="Q12" s="57" t="s">
        <v>127</v>
      </c>
      <c r="R12" s="230" t="s">
        <v>3</v>
      </c>
      <c r="S12" s="231" t="s">
        <v>3</v>
      </c>
      <c r="T12" s="56" t="s">
        <v>127</v>
      </c>
      <c r="U12" s="57" t="s">
        <v>127</v>
      </c>
      <c r="V12" s="230" t="s">
        <v>3</v>
      </c>
      <c r="W12" s="231" t="s">
        <v>3</v>
      </c>
      <c r="X12" s="56" t="s">
        <v>127</v>
      </c>
      <c r="Y12" s="57" t="s">
        <v>127</v>
      </c>
      <c r="Z12" s="230" t="s">
        <v>3</v>
      </c>
      <c r="AA12" s="231" t="s">
        <v>3</v>
      </c>
      <c r="AB12" s="56" t="s">
        <v>127</v>
      </c>
      <c r="AC12" s="57" t="s">
        <v>127</v>
      </c>
      <c r="AD12" s="230" t="s">
        <v>3</v>
      </c>
      <c r="AE12" s="231" t="s">
        <v>3</v>
      </c>
      <c r="AF12" s="56" t="s">
        <v>127</v>
      </c>
      <c r="AG12" s="57" t="s">
        <v>127</v>
      </c>
      <c r="AH12" s="230" t="s">
        <v>3</v>
      </c>
      <c r="AI12" s="231" t="s">
        <v>3</v>
      </c>
      <c r="AJ12" s="56" t="s">
        <v>127</v>
      </c>
      <c r="AK12" s="57" t="s">
        <v>127</v>
      </c>
      <c r="AL12" s="230" t="s">
        <v>3</v>
      </c>
      <c r="AM12" s="231" t="s">
        <v>3</v>
      </c>
      <c r="AN12" s="56" t="s">
        <v>127</v>
      </c>
      <c r="AO12" s="57" t="s">
        <v>127</v>
      </c>
      <c r="AP12" s="230" t="s">
        <v>3</v>
      </c>
      <c r="AQ12" s="231" t="s">
        <v>3</v>
      </c>
      <c r="AR12" s="230"/>
      <c r="AT12" s="58"/>
      <c r="AU12" s="58"/>
    </row>
    <row r="13" spans="1:58" s="59" customFormat="1" x14ac:dyDescent="0.2">
      <c r="A13" s="59">
        <v>4</v>
      </c>
      <c r="B13" s="368" t="s">
        <v>157</v>
      </c>
      <c r="C13" s="58">
        <f>DCOUNT(NotRetired0102,"Current Age",Tier4)</f>
        <v>7</v>
      </c>
      <c r="D13" s="58">
        <f>DCOUNT(NotRetired0102,"Years Service",TierA4)</f>
        <v>6</v>
      </c>
      <c r="E13" s="58">
        <f>DCOUNT(NotRetired0102,"Years Service",TierB4)</f>
        <v>1</v>
      </c>
      <c r="F13" s="58">
        <f>DCOUNT(NotRetired0102,"Years Service",TierC4)</f>
        <v>0</v>
      </c>
      <c r="G13" s="63">
        <f>DCOUNT(NotRetired0102,"Years Service",TierD4)</f>
        <v>0</v>
      </c>
      <c r="H13" s="63">
        <f>DCOUNT(NotRetired0102,"Years Service",TierE4)</f>
        <v>0</v>
      </c>
      <c r="I13" s="63">
        <f>DCOUNT(NotRetired0102,"Years Service",TierF4)</f>
        <v>0</v>
      </c>
      <c r="J13" s="63">
        <f>DCOUNT(NotRetired0102,"Years Service",TierG4)</f>
        <v>0</v>
      </c>
      <c r="K13" s="63"/>
      <c r="L13" s="369">
        <f>(SUMPRODUCT(D13:J13,$D$33:$J$33))/(SUM(D13:J13))</f>
        <v>2714.2857142857142</v>
      </c>
      <c r="M13" s="369">
        <f>(SUMPRODUCT(D13:J13,$D$35:$J$35))/(SUM(D13:J13))</f>
        <v>3857.1428571428573</v>
      </c>
      <c r="N13" s="449" t="s">
        <v>304</v>
      </c>
      <c r="O13" s="59" t="s">
        <v>133</v>
      </c>
      <c r="P13" s="60" t="s">
        <v>119</v>
      </c>
      <c r="Q13" s="61" t="s">
        <v>149</v>
      </c>
      <c r="R13" s="232" t="s">
        <v>169</v>
      </c>
      <c r="S13" s="62" t="s">
        <v>170</v>
      </c>
      <c r="T13" s="60" t="s">
        <v>119</v>
      </c>
      <c r="U13" s="61" t="s">
        <v>149</v>
      </c>
      <c r="V13" s="232" t="s">
        <v>171</v>
      </c>
      <c r="W13" s="62" t="s">
        <v>172</v>
      </c>
      <c r="X13" s="60" t="s">
        <v>119</v>
      </c>
      <c r="Y13" s="61" t="s">
        <v>149</v>
      </c>
      <c r="Z13" s="229" t="s">
        <v>176</v>
      </c>
      <c r="AA13" s="50" t="s">
        <v>177</v>
      </c>
      <c r="AB13" s="60" t="s">
        <v>119</v>
      </c>
      <c r="AC13" s="61" t="s">
        <v>149</v>
      </c>
      <c r="AD13" s="229" t="s">
        <v>129</v>
      </c>
      <c r="AE13" s="50" t="s">
        <v>152</v>
      </c>
      <c r="AF13" s="60" t="s">
        <v>119</v>
      </c>
      <c r="AG13" s="61" t="s">
        <v>149</v>
      </c>
      <c r="AH13" s="229" t="s">
        <v>117</v>
      </c>
      <c r="AI13" s="50" t="s">
        <v>151</v>
      </c>
      <c r="AJ13" s="60" t="s">
        <v>119</v>
      </c>
      <c r="AK13" s="61" t="s">
        <v>149</v>
      </c>
      <c r="AL13" s="229" t="s">
        <v>118</v>
      </c>
      <c r="AM13" s="50" t="s">
        <v>150</v>
      </c>
      <c r="AN13" s="60" t="s">
        <v>119</v>
      </c>
      <c r="AO13" s="61" t="s">
        <v>149</v>
      </c>
      <c r="AP13" s="229" t="s">
        <v>119</v>
      </c>
      <c r="AQ13" s="50"/>
      <c r="AR13" s="49"/>
      <c r="AT13" s="63"/>
      <c r="AU13" s="63"/>
    </row>
    <row r="14" spans="1:58" s="55" customFormat="1" x14ac:dyDescent="0.2">
      <c r="A14" s="59"/>
      <c r="B14" s="59"/>
      <c r="C14" s="63"/>
      <c r="D14" s="63"/>
      <c r="E14" s="59"/>
      <c r="F14" s="59"/>
      <c r="G14" s="59"/>
      <c r="H14" s="59"/>
      <c r="I14" s="59"/>
      <c r="J14" s="59"/>
      <c r="K14" s="59"/>
      <c r="L14" s="370"/>
      <c r="M14" s="370"/>
      <c r="N14" s="448"/>
      <c r="P14" s="56" t="s">
        <v>127</v>
      </c>
      <c r="Q14" s="57" t="s">
        <v>127</v>
      </c>
      <c r="R14" s="230" t="s">
        <v>3</v>
      </c>
      <c r="S14" s="231" t="s">
        <v>3</v>
      </c>
      <c r="T14" s="56" t="s">
        <v>127</v>
      </c>
      <c r="U14" s="57" t="s">
        <v>127</v>
      </c>
      <c r="V14" s="230" t="s">
        <v>3</v>
      </c>
      <c r="W14" s="231" t="s">
        <v>3</v>
      </c>
      <c r="X14" s="56" t="s">
        <v>127</v>
      </c>
      <c r="Y14" s="57" t="s">
        <v>127</v>
      </c>
      <c r="Z14" s="230" t="s">
        <v>3</v>
      </c>
      <c r="AA14" s="231" t="s">
        <v>3</v>
      </c>
      <c r="AB14" s="56" t="s">
        <v>127</v>
      </c>
      <c r="AC14" s="57" t="s">
        <v>127</v>
      </c>
      <c r="AD14" s="230" t="s">
        <v>3</v>
      </c>
      <c r="AE14" s="231" t="s">
        <v>3</v>
      </c>
      <c r="AF14" s="56" t="s">
        <v>127</v>
      </c>
      <c r="AG14" s="57" t="s">
        <v>127</v>
      </c>
      <c r="AH14" s="230" t="s">
        <v>3</v>
      </c>
      <c r="AI14" s="231" t="s">
        <v>3</v>
      </c>
      <c r="AJ14" s="56" t="s">
        <v>127</v>
      </c>
      <c r="AK14" s="57" t="s">
        <v>127</v>
      </c>
      <c r="AL14" s="230" t="s">
        <v>3</v>
      </c>
      <c r="AM14" s="231" t="s">
        <v>3</v>
      </c>
      <c r="AN14" s="56" t="s">
        <v>127</v>
      </c>
      <c r="AO14" s="57" t="s">
        <v>127</v>
      </c>
      <c r="AP14" s="230" t="s">
        <v>3</v>
      </c>
      <c r="AQ14" s="231" t="s">
        <v>3</v>
      </c>
      <c r="AR14" s="230"/>
      <c r="AT14" s="58"/>
      <c r="AU14" s="58"/>
    </row>
    <row r="15" spans="1:58" s="59" customFormat="1" x14ac:dyDescent="0.2">
      <c r="A15" s="59">
        <v>5</v>
      </c>
      <c r="B15" s="368" t="s">
        <v>158</v>
      </c>
      <c r="C15" s="58">
        <f>DCOUNT(NotRetired0102,"Current Age",Tier5)</f>
        <v>6</v>
      </c>
      <c r="D15" s="58">
        <f>DCOUNT(NotRetired0102,"Years Service",TierA5)</f>
        <v>2</v>
      </c>
      <c r="E15" s="58">
        <f>DCOUNT(NotRetired0102,"Years Service",TierB5)</f>
        <v>3</v>
      </c>
      <c r="F15" s="58">
        <f>DCOUNT(NotRetired0102,"Years Service",TierC5)</f>
        <v>1</v>
      </c>
      <c r="G15" s="63">
        <f>DCOUNT(NotRetired0102,"Years Service",TierD5)</f>
        <v>0</v>
      </c>
      <c r="H15" s="63">
        <f>DCOUNT(NotRetired0102,"Years Service",TierE5)</f>
        <v>0</v>
      </c>
      <c r="I15" s="63">
        <f>DCOUNT(NotRetired0102,"Years Service",TierF5)</f>
        <v>0</v>
      </c>
      <c r="J15" s="63">
        <f>DCOUNT(NotRetired0102,"Years Service",TierG5)</f>
        <v>0</v>
      </c>
      <c r="K15" s="63"/>
      <c r="L15" s="369">
        <f>(SUMPRODUCT(D15:J15,$D$33:$J$33))/(SUM(D15:J15))</f>
        <v>6166.666666666667</v>
      </c>
      <c r="M15" s="369">
        <f>(SUMPRODUCT(D15:J15,$D$35:$J$35))/(SUM(D15:J15))</f>
        <v>8000</v>
      </c>
      <c r="N15" s="449" t="s">
        <v>304</v>
      </c>
      <c r="O15" s="59" t="s">
        <v>134</v>
      </c>
      <c r="P15" s="60" t="s">
        <v>120</v>
      </c>
      <c r="Q15" s="61" t="s">
        <v>148</v>
      </c>
      <c r="R15" s="232" t="s">
        <v>169</v>
      </c>
      <c r="S15" s="62" t="s">
        <v>170</v>
      </c>
      <c r="T15" s="60" t="s">
        <v>120</v>
      </c>
      <c r="U15" s="61" t="s">
        <v>148</v>
      </c>
      <c r="V15" s="232" t="s">
        <v>171</v>
      </c>
      <c r="W15" s="62" t="s">
        <v>172</v>
      </c>
      <c r="X15" s="60" t="s">
        <v>120</v>
      </c>
      <c r="Y15" s="61" t="s">
        <v>148</v>
      </c>
      <c r="Z15" s="229" t="s">
        <v>176</v>
      </c>
      <c r="AA15" s="50" t="s">
        <v>177</v>
      </c>
      <c r="AB15" s="60" t="s">
        <v>120</v>
      </c>
      <c r="AC15" s="61" t="s">
        <v>148</v>
      </c>
      <c r="AD15" s="229" t="s">
        <v>129</v>
      </c>
      <c r="AE15" s="50" t="s">
        <v>152</v>
      </c>
      <c r="AF15" s="60" t="s">
        <v>120</v>
      </c>
      <c r="AG15" s="61" t="s">
        <v>148</v>
      </c>
      <c r="AH15" s="229" t="s">
        <v>117</v>
      </c>
      <c r="AI15" s="50" t="s">
        <v>151</v>
      </c>
      <c r="AJ15" s="60" t="s">
        <v>120</v>
      </c>
      <c r="AK15" s="61" t="s">
        <v>148</v>
      </c>
      <c r="AL15" s="229" t="s">
        <v>118</v>
      </c>
      <c r="AM15" s="50" t="s">
        <v>150</v>
      </c>
      <c r="AN15" s="60" t="s">
        <v>120</v>
      </c>
      <c r="AO15" s="61" t="s">
        <v>148</v>
      </c>
      <c r="AP15" s="229" t="s">
        <v>119</v>
      </c>
      <c r="AQ15" s="50"/>
      <c r="AR15" s="49"/>
      <c r="AT15" s="63"/>
      <c r="AU15" s="63"/>
    </row>
    <row r="16" spans="1:58" s="55" customFormat="1" x14ac:dyDescent="0.2">
      <c r="A16" s="59"/>
      <c r="B16" s="162"/>
      <c r="C16" s="59"/>
      <c r="D16" s="59"/>
      <c r="E16" s="59"/>
      <c r="F16" s="59"/>
      <c r="G16" s="59"/>
      <c r="H16" s="59"/>
      <c r="I16" s="59"/>
      <c r="J16" s="59"/>
      <c r="K16" s="59"/>
      <c r="L16" s="370"/>
      <c r="M16" s="370"/>
      <c r="N16" s="448"/>
      <c r="P16" s="56" t="s">
        <v>127</v>
      </c>
      <c r="Q16" s="57" t="s">
        <v>127</v>
      </c>
      <c r="R16" s="230" t="s">
        <v>3</v>
      </c>
      <c r="S16" s="231" t="s">
        <v>3</v>
      </c>
      <c r="T16" s="56" t="s">
        <v>127</v>
      </c>
      <c r="U16" s="57" t="s">
        <v>127</v>
      </c>
      <c r="V16" s="230" t="s">
        <v>3</v>
      </c>
      <c r="W16" s="231" t="s">
        <v>3</v>
      </c>
      <c r="X16" s="56" t="s">
        <v>127</v>
      </c>
      <c r="Y16" s="57" t="s">
        <v>127</v>
      </c>
      <c r="Z16" s="230" t="s">
        <v>3</v>
      </c>
      <c r="AA16" s="231" t="s">
        <v>3</v>
      </c>
      <c r="AB16" s="56" t="s">
        <v>127</v>
      </c>
      <c r="AC16" s="57" t="s">
        <v>127</v>
      </c>
      <c r="AD16" s="230" t="s">
        <v>3</v>
      </c>
      <c r="AE16" s="231" t="s">
        <v>3</v>
      </c>
      <c r="AF16" s="56" t="s">
        <v>127</v>
      </c>
      <c r="AG16" s="57" t="s">
        <v>127</v>
      </c>
      <c r="AH16" s="230" t="s">
        <v>3</v>
      </c>
      <c r="AI16" s="231" t="s">
        <v>3</v>
      </c>
      <c r="AJ16" s="56" t="s">
        <v>127</v>
      </c>
      <c r="AK16" s="57" t="s">
        <v>127</v>
      </c>
      <c r="AL16" s="230" t="s">
        <v>3</v>
      </c>
      <c r="AM16" s="231" t="s">
        <v>3</v>
      </c>
      <c r="AN16" s="56" t="s">
        <v>127</v>
      </c>
      <c r="AO16" s="57" t="s">
        <v>127</v>
      </c>
      <c r="AP16" s="230" t="s">
        <v>3</v>
      </c>
      <c r="AQ16" s="231" t="s">
        <v>3</v>
      </c>
      <c r="AR16" s="230"/>
    </row>
    <row r="17" spans="1:47" s="59" customFormat="1" x14ac:dyDescent="0.2">
      <c r="A17" s="59">
        <v>6</v>
      </c>
      <c r="B17" s="368" t="s">
        <v>159</v>
      </c>
      <c r="C17" s="58">
        <f>DCOUNT(NotRetired0102,"Current Age",Tier6)</f>
        <v>8</v>
      </c>
      <c r="D17" s="58">
        <f>DCOUNT(NotRetired0102,"Years Service",TierA6)</f>
        <v>1</v>
      </c>
      <c r="E17" s="58">
        <f>DCOUNT(NotRetired0102,"Years Service",TierB6)</f>
        <v>5</v>
      </c>
      <c r="F17" s="58">
        <f>DCOUNT(NotRetired0102,"Years Service",TierC6)</f>
        <v>1</v>
      </c>
      <c r="G17" s="58">
        <f>DCOUNT(NotRetired0102,"Years Service",TierD6)</f>
        <v>1</v>
      </c>
      <c r="H17" s="63">
        <f>DCOUNT(NotRetired0102,"Years Service",TierE6)</f>
        <v>0</v>
      </c>
      <c r="I17" s="63">
        <f>DCOUNT(NotRetired0102,"Years Service",TierF6)</f>
        <v>0</v>
      </c>
      <c r="J17" s="63">
        <f>DCOUNT(NotRetired0102,"Years Service",TierG6)</f>
        <v>0</v>
      </c>
      <c r="K17" s="63"/>
      <c r="L17" s="369">
        <f>(SUMPRODUCT(D17:J17,$D$33:$J$33))/(SUM(D17:J17))</f>
        <v>8250</v>
      </c>
      <c r="M17" s="369">
        <f>(SUMPRODUCT(D17:J17,$D$35:$J$35))/(SUM(D17:J17))</f>
        <v>10500</v>
      </c>
      <c r="N17" s="449" t="s">
        <v>304</v>
      </c>
      <c r="O17" s="59" t="s">
        <v>135</v>
      </c>
      <c r="P17" s="60" t="s">
        <v>121</v>
      </c>
      <c r="Q17" s="61" t="s">
        <v>147</v>
      </c>
      <c r="R17" s="232" t="s">
        <v>169</v>
      </c>
      <c r="S17" s="62" t="s">
        <v>170</v>
      </c>
      <c r="T17" s="60" t="s">
        <v>121</v>
      </c>
      <c r="U17" s="61" t="s">
        <v>147</v>
      </c>
      <c r="V17" s="232" t="s">
        <v>171</v>
      </c>
      <c r="W17" s="62" t="s">
        <v>172</v>
      </c>
      <c r="X17" s="60" t="s">
        <v>121</v>
      </c>
      <c r="Y17" s="61" t="s">
        <v>147</v>
      </c>
      <c r="Z17" s="229" t="s">
        <v>176</v>
      </c>
      <c r="AA17" s="50" t="s">
        <v>177</v>
      </c>
      <c r="AB17" s="60" t="s">
        <v>121</v>
      </c>
      <c r="AC17" s="61" t="s">
        <v>147</v>
      </c>
      <c r="AD17" s="229" t="s">
        <v>129</v>
      </c>
      <c r="AE17" s="50" t="s">
        <v>152</v>
      </c>
      <c r="AF17" s="60" t="s">
        <v>121</v>
      </c>
      <c r="AG17" s="61" t="s">
        <v>147</v>
      </c>
      <c r="AH17" s="229" t="s">
        <v>117</v>
      </c>
      <c r="AI17" s="50" t="s">
        <v>151</v>
      </c>
      <c r="AJ17" s="60" t="s">
        <v>121</v>
      </c>
      <c r="AK17" s="61" t="s">
        <v>147</v>
      </c>
      <c r="AL17" s="229" t="s">
        <v>118</v>
      </c>
      <c r="AM17" s="50" t="s">
        <v>150</v>
      </c>
      <c r="AN17" s="60" t="s">
        <v>121</v>
      </c>
      <c r="AO17" s="61" t="s">
        <v>147</v>
      </c>
      <c r="AP17" s="229" t="s">
        <v>119</v>
      </c>
      <c r="AQ17" s="50"/>
      <c r="AR17" s="49"/>
      <c r="AT17" s="63"/>
      <c r="AU17" s="63"/>
    </row>
    <row r="18" spans="1:47" s="55" customFormat="1" x14ac:dyDescent="0.2">
      <c r="A18" s="59"/>
      <c r="B18" s="59"/>
      <c r="C18" s="59"/>
      <c r="D18" s="59"/>
      <c r="E18" s="59"/>
      <c r="F18" s="59"/>
      <c r="G18" s="59"/>
      <c r="H18" s="59"/>
      <c r="I18" s="59"/>
      <c r="J18" s="59"/>
      <c r="K18" s="59"/>
      <c r="L18" s="370"/>
      <c r="M18" s="370"/>
      <c r="N18" s="448"/>
      <c r="P18" s="56" t="s">
        <v>127</v>
      </c>
      <c r="Q18" s="57" t="s">
        <v>127</v>
      </c>
      <c r="R18" s="230" t="s">
        <v>3</v>
      </c>
      <c r="S18" s="231" t="s">
        <v>3</v>
      </c>
      <c r="T18" s="56" t="s">
        <v>127</v>
      </c>
      <c r="U18" s="57" t="s">
        <v>127</v>
      </c>
      <c r="V18" s="230" t="s">
        <v>3</v>
      </c>
      <c r="W18" s="231" t="s">
        <v>3</v>
      </c>
      <c r="X18" s="56" t="s">
        <v>127</v>
      </c>
      <c r="Y18" s="57" t="s">
        <v>127</v>
      </c>
      <c r="Z18" s="230" t="s">
        <v>3</v>
      </c>
      <c r="AA18" s="231" t="s">
        <v>3</v>
      </c>
      <c r="AB18" s="56" t="s">
        <v>127</v>
      </c>
      <c r="AC18" s="57" t="s">
        <v>127</v>
      </c>
      <c r="AD18" s="230" t="s">
        <v>3</v>
      </c>
      <c r="AE18" s="231" t="s">
        <v>3</v>
      </c>
      <c r="AF18" s="56" t="s">
        <v>127</v>
      </c>
      <c r="AG18" s="57" t="s">
        <v>127</v>
      </c>
      <c r="AH18" s="230" t="s">
        <v>3</v>
      </c>
      <c r="AI18" s="231" t="s">
        <v>3</v>
      </c>
      <c r="AJ18" s="56" t="s">
        <v>127</v>
      </c>
      <c r="AK18" s="57" t="s">
        <v>127</v>
      </c>
      <c r="AL18" s="230" t="s">
        <v>3</v>
      </c>
      <c r="AM18" s="231" t="s">
        <v>3</v>
      </c>
      <c r="AN18" s="56" t="s">
        <v>127</v>
      </c>
      <c r="AO18" s="57" t="s">
        <v>127</v>
      </c>
      <c r="AP18" s="230" t="s">
        <v>3</v>
      </c>
      <c r="AQ18" s="231" t="s">
        <v>3</v>
      </c>
      <c r="AR18" s="230"/>
    </row>
    <row r="19" spans="1:47" s="59" customFormat="1" x14ac:dyDescent="0.2">
      <c r="A19" s="59">
        <v>7</v>
      </c>
      <c r="B19" s="368" t="s">
        <v>160</v>
      </c>
      <c r="C19" s="58">
        <f>DCOUNT(NotRetired0102,"Current Age",Tier7)</f>
        <v>13</v>
      </c>
      <c r="D19" s="63">
        <f>DCOUNT(NotRetired0102,"Years Service",TierA7)</f>
        <v>0</v>
      </c>
      <c r="E19" s="58">
        <f>DCOUNT(NotRetired0102,"Years Service",TierB7)</f>
        <v>2</v>
      </c>
      <c r="F19" s="58">
        <f>DCOUNT(NotRetired0102,"Years Service",TierC7)</f>
        <v>3</v>
      </c>
      <c r="G19" s="58">
        <f>DCOUNT(NotRetired0102,"Years Service",TierD7)</f>
        <v>2</v>
      </c>
      <c r="H19" s="58">
        <f>DCOUNT(NotRetired0102,"Years Service",TierE7)</f>
        <v>6</v>
      </c>
      <c r="I19" s="63">
        <f>DCOUNT(NotRetired0102,"Years Service",TierF7)</f>
        <v>0</v>
      </c>
      <c r="J19" s="63">
        <f>DCOUNT(NotRetired0102,"Years Service",TierG7)</f>
        <v>0</v>
      </c>
      <c r="K19" s="63"/>
      <c r="L19" s="369">
        <f>(SUMPRODUCT(D19:J19,$D$33:$J$33))/(SUM(D19:J19))</f>
        <v>16153.846153846154</v>
      </c>
      <c r="M19" s="369">
        <f>(SUMPRODUCT(D19:J19,$D$35:$J$35))/(SUM(D19:J19))</f>
        <v>20538.461538461539</v>
      </c>
      <c r="N19" s="449" t="s">
        <v>304</v>
      </c>
      <c r="O19" s="59" t="s">
        <v>136</v>
      </c>
      <c r="P19" s="60" t="s">
        <v>122</v>
      </c>
      <c r="Q19" s="61" t="s">
        <v>146</v>
      </c>
      <c r="R19" s="232" t="s">
        <v>169</v>
      </c>
      <c r="S19" s="62" t="s">
        <v>170</v>
      </c>
      <c r="T19" s="60" t="s">
        <v>122</v>
      </c>
      <c r="U19" s="61" t="s">
        <v>146</v>
      </c>
      <c r="V19" s="232" t="s">
        <v>171</v>
      </c>
      <c r="W19" s="62" t="s">
        <v>172</v>
      </c>
      <c r="X19" s="60" t="s">
        <v>122</v>
      </c>
      <c r="Y19" s="61" t="s">
        <v>146</v>
      </c>
      <c r="Z19" s="229" t="s">
        <v>176</v>
      </c>
      <c r="AA19" s="50" t="s">
        <v>177</v>
      </c>
      <c r="AB19" s="60" t="s">
        <v>122</v>
      </c>
      <c r="AC19" s="61" t="s">
        <v>146</v>
      </c>
      <c r="AD19" s="229" t="s">
        <v>129</v>
      </c>
      <c r="AE19" s="50" t="s">
        <v>152</v>
      </c>
      <c r="AF19" s="60" t="s">
        <v>122</v>
      </c>
      <c r="AG19" s="61" t="s">
        <v>146</v>
      </c>
      <c r="AH19" s="229" t="s">
        <v>117</v>
      </c>
      <c r="AI19" s="50" t="s">
        <v>151</v>
      </c>
      <c r="AJ19" s="60" t="s">
        <v>122</v>
      </c>
      <c r="AK19" s="61" t="s">
        <v>146</v>
      </c>
      <c r="AL19" s="229" t="s">
        <v>118</v>
      </c>
      <c r="AM19" s="50" t="s">
        <v>150</v>
      </c>
      <c r="AN19" s="60" t="s">
        <v>122</v>
      </c>
      <c r="AO19" s="61" t="s">
        <v>146</v>
      </c>
      <c r="AP19" s="229" t="s">
        <v>119</v>
      </c>
      <c r="AQ19" s="50"/>
      <c r="AR19" s="49"/>
      <c r="AT19" s="63"/>
      <c r="AU19" s="63"/>
    </row>
    <row r="20" spans="1:47" s="55" customFormat="1" x14ac:dyDescent="0.2">
      <c r="A20" s="59"/>
      <c r="B20" s="59"/>
      <c r="C20" s="59"/>
      <c r="D20" s="59"/>
      <c r="E20" s="59"/>
      <c r="F20" s="59"/>
      <c r="G20" s="59"/>
      <c r="H20" s="59"/>
      <c r="I20" s="59"/>
      <c r="J20" s="59"/>
      <c r="K20" s="59"/>
      <c r="L20" s="370"/>
      <c r="M20" s="370"/>
      <c r="N20" s="448"/>
      <c r="P20" s="56" t="s">
        <v>127</v>
      </c>
      <c r="Q20" s="57" t="s">
        <v>127</v>
      </c>
      <c r="R20" s="230" t="s">
        <v>3</v>
      </c>
      <c r="S20" s="231" t="s">
        <v>3</v>
      </c>
      <c r="T20" s="56" t="s">
        <v>127</v>
      </c>
      <c r="U20" s="57" t="s">
        <v>127</v>
      </c>
      <c r="V20" s="230" t="s">
        <v>3</v>
      </c>
      <c r="W20" s="231" t="s">
        <v>3</v>
      </c>
      <c r="X20" s="56" t="s">
        <v>127</v>
      </c>
      <c r="Y20" s="57" t="s">
        <v>127</v>
      </c>
      <c r="Z20" s="230" t="s">
        <v>3</v>
      </c>
      <c r="AA20" s="231" t="s">
        <v>3</v>
      </c>
      <c r="AB20" s="56" t="s">
        <v>127</v>
      </c>
      <c r="AC20" s="57" t="s">
        <v>127</v>
      </c>
      <c r="AD20" s="230" t="s">
        <v>3</v>
      </c>
      <c r="AE20" s="231" t="s">
        <v>3</v>
      </c>
      <c r="AF20" s="56" t="s">
        <v>127</v>
      </c>
      <c r="AG20" s="57" t="s">
        <v>127</v>
      </c>
      <c r="AH20" s="230" t="s">
        <v>3</v>
      </c>
      <c r="AI20" s="231" t="s">
        <v>3</v>
      </c>
      <c r="AJ20" s="56" t="s">
        <v>127</v>
      </c>
      <c r="AK20" s="57" t="s">
        <v>127</v>
      </c>
      <c r="AL20" s="230" t="s">
        <v>3</v>
      </c>
      <c r="AM20" s="231" t="s">
        <v>3</v>
      </c>
      <c r="AN20" s="56" t="s">
        <v>127</v>
      </c>
      <c r="AO20" s="57" t="s">
        <v>127</v>
      </c>
      <c r="AP20" s="230" t="s">
        <v>3</v>
      </c>
      <c r="AQ20" s="231" t="s">
        <v>3</v>
      </c>
      <c r="AR20" s="230"/>
    </row>
    <row r="21" spans="1:47" s="59" customFormat="1" x14ac:dyDescent="0.2">
      <c r="A21" s="59">
        <v>8</v>
      </c>
      <c r="B21" s="368" t="s">
        <v>161</v>
      </c>
      <c r="C21" s="58">
        <f>DCOUNT(NotRetired0102,"Current Age",Tier8)</f>
        <v>14</v>
      </c>
      <c r="D21" s="63">
        <f>DCOUNT(NotRetired0102,"Years Service",TierA8)</f>
        <v>0</v>
      </c>
      <c r="E21" s="63">
        <f>DCOUNT(NotRetired0102,"Years Service",TierB8)</f>
        <v>0</v>
      </c>
      <c r="F21" s="58">
        <f>DCOUNT(NotRetired0102,"Years Service",TierC8)</f>
        <v>1</v>
      </c>
      <c r="G21" s="58">
        <f>DCOUNT(NotRetired0102,"Years Service",TierD8)</f>
        <v>0</v>
      </c>
      <c r="H21" s="58">
        <f>DCOUNT(NotRetired0102,"Years Service",TierE8)</f>
        <v>2</v>
      </c>
      <c r="I21" s="58">
        <f>DCOUNT(NotRetired0102,"Years Service",TierF8)</f>
        <v>9</v>
      </c>
      <c r="J21" s="58">
        <f>DCOUNT(NotRetired0102,"Years Service",TierG8)</f>
        <v>2</v>
      </c>
      <c r="K21" s="63"/>
      <c r="L21" s="369">
        <f>(SUMPRODUCT(D21:J21,$D$33:$J$33))/(SUM(D21:J21))</f>
        <v>24642.857142857141</v>
      </c>
      <c r="M21" s="369">
        <f>(SUMPRODUCT(D21:J21,$D$35:$J$35))/(SUM(D21:J21))</f>
        <v>31285.714285714286</v>
      </c>
      <c r="N21" s="449" t="s">
        <v>304</v>
      </c>
      <c r="O21" s="59" t="s">
        <v>137</v>
      </c>
      <c r="P21" s="60" t="s">
        <v>123</v>
      </c>
      <c r="Q21" s="61" t="s">
        <v>145</v>
      </c>
      <c r="R21" s="232" t="s">
        <v>169</v>
      </c>
      <c r="S21" s="62" t="s">
        <v>170</v>
      </c>
      <c r="T21" s="60" t="s">
        <v>123</v>
      </c>
      <c r="U21" s="61" t="s">
        <v>145</v>
      </c>
      <c r="V21" s="232" t="s">
        <v>171</v>
      </c>
      <c r="W21" s="62" t="s">
        <v>172</v>
      </c>
      <c r="X21" s="60" t="s">
        <v>123</v>
      </c>
      <c r="Y21" s="61" t="s">
        <v>145</v>
      </c>
      <c r="Z21" s="229" t="s">
        <v>176</v>
      </c>
      <c r="AA21" s="50" t="s">
        <v>177</v>
      </c>
      <c r="AB21" s="60" t="s">
        <v>123</v>
      </c>
      <c r="AC21" s="61" t="s">
        <v>145</v>
      </c>
      <c r="AD21" s="229" t="s">
        <v>129</v>
      </c>
      <c r="AE21" s="50" t="s">
        <v>152</v>
      </c>
      <c r="AF21" s="60" t="s">
        <v>123</v>
      </c>
      <c r="AG21" s="61" t="s">
        <v>145</v>
      </c>
      <c r="AH21" s="229" t="s">
        <v>117</v>
      </c>
      <c r="AI21" s="50" t="s">
        <v>151</v>
      </c>
      <c r="AJ21" s="60" t="s">
        <v>123</v>
      </c>
      <c r="AK21" s="61" t="s">
        <v>145</v>
      </c>
      <c r="AL21" s="229" t="s">
        <v>118</v>
      </c>
      <c r="AM21" s="50" t="s">
        <v>150</v>
      </c>
      <c r="AN21" s="60" t="s">
        <v>123</v>
      </c>
      <c r="AO21" s="61" t="s">
        <v>145</v>
      </c>
      <c r="AP21" s="229" t="s">
        <v>119</v>
      </c>
      <c r="AQ21" s="50"/>
      <c r="AR21" s="49"/>
      <c r="AT21" s="63"/>
      <c r="AU21" s="63"/>
    </row>
    <row r="22" spans="1:47" s="55" customFormat="1" x14ac:dyDescent="0.2">
      <c r="A22" s="59"/>
      <c r="B22" s="59"/>
      <c r="C22" s="59"/>
      <c r="D22" s="59"/>
      <c r="E22" s="59"/>
      <c r="F22" s="59"/>
      <c r="G22" s="59"/>
      <c r="H22" s="59"/>
      <c r="I22" s="59"/>
      <c r="J22" s="59"/>
      <c r="K22" s="59"/>
      <c r="L22" s="370"/>
      <c r="M22" s="370"/>
      <c r="N22" s="448"/>
      <c r="P22" s="56" t="s">
        <v>127</v>
      </c>
      <c r="Q22" s="57" t="s">
        <v>127</v>
      </c>
      <c r="R22" s="230" t="s">
        <v>3</v>
      </c>
      <c r="S22" s="231" t="s">
        <v>3</v>
      </c>
      <c r="T22" s="56" t="s">
        <v>127</v>
      </c>
      <c r="U22" s="57" t="s">
        <v>127</v>
      </c>
      <c r="V22" s="230" t="s">
        <v>3</v>
      </c>
      <c r="W22" s="231" t="s">
        <v>3</v>
      </c>
      <c r="X22" s="56" t="s">
        <v>127</v>
      </c>
      <c r="Y22" s="57" t="s">
        <v>127</v>
      </c>
      <c r="Z22" s="230" t="s">
        <v>3</v>
      </c>
      <c r="AA22" s="231" t="s">
        <v>3</v>
      </c>
      <c r="AB22" s="56" t="s">
        <v>127</v>
      </c>
      <c r="AC22" s="57" t="s">
        <v>127</v>
      </c>
      <c r="AD22" s="230" t="s">
        <v>3</v>
      </c>
      <c r="AE22" s="231" t="s">
        <v>3</v>
      </c>
      <c r="AF22" s="56" t="s">
        <v>127</v>
      </c>
      <c r="AG22" s="57" t="s">
        <v>127</v>
      </c>
      <c r="AH22" s="230" t="s">
        <v>3</v>
      </c>
      <c r="AI22" s="231" t="s">
        <v>3</v>
      </c>
      <c r="AJ22" s="56" t="s">
        <v>127</v>
      </c>
      <c r="AK22" s="57" t="s">
        <v>127</v>
      </c>
      <c r="AL22" s="230" t="s">
        <v>3</v>
      </c>
      <c r="AM22" s="231" t="s">
        <v>3</v>
      </c>
      <c r="AN22" s="56" t="s">
        <v>127</v>
      </c>
      <c r="AO22" s="57" t="s">
        <v>127</v>
      </c>
      <c r="AP22" s="230" t="s">
        <v>3</v>
      </c>
      <c r="AQ22" s="231" t="s">
        <v>3</v>
      </c>
      <c r="AR22" s="230"/>
    </row>
    <row r="23" spans="1:47" x14ac:dyDescent="0.2">
      <c r="A23" s="59">
        <v>9</v>
      </c>
      <c r="B23" s="368" t="s">
        <v>162</v>
      </c>
      <c r="C23" s="58">
        <f>DCOUNT(NotRetired0102,"Current Age",Tier9)</f>
        <v>12</v>
      </c>
      <c r="D23" s="63">
        <f>DCOUNT(NotRetired0102,"Years Service",TierA9)</f>
        <v>0</v>
      </c>
      <c r="E23" s="63">
        <f>DCOUNT(NotRetired0102,"Years Service",TierB9)</f>
        <v>0</v>
      </c>
      <c r="F23" s="63">
        <f>DCOUNT(NotRetired0102,"Years Service",TierC9)</f>
        <v>0</v>
      </c>
      <c r="G23" s="63">
        <f>DCOUNT(NotRetired0102,"Years Service",TierD9)</f>
        <v>0</v>
      </c>
      <c r="H23" s="63">
        <f>DCOUNT(NotRetired0102,"Years Service",TierE9)</f>
        <v>0</v>
      </c>
      <c r="I23" s="58">
        <f>DCOUNT(NotRetired0102,"Years Service",TierF9)</f>
        <v>4</v>
      </c>
      <c r="J23" s="58">
        <f>DCOUNT(NotRetired0102,"Years Service",TierG9)</f>
        <v>8</v>
      </c>
      <c r="K23" s="63"/>
      <c r="L23" s="369">
        <f>(SUMPRODUCT(D23:J23,$D$33:$J$33))/(SUM(D23:J23))</f>
        <v>27666.666666666668</v>
      </c>
      <c r="M23" s="369">
        <f>(SUMPRODUCT(D23:J23,$D$35:$J$35))/(SUM(D23:J23))</f>
        <v>35000</v>
      </c>
      <c r="N23" s="449" t="s">
        <v>304</v>
      </c>
      <c r="O23" t="s">
        <v>138</v>
      </c>
      <c r="P23" s="51" t="s">
        <v>124</v>
      </c>
      <c r="Q23" s="49" t="s">
        <v>144</v>
      </c>
      <c r="R23" s="229" t="s">
        <v>169</v>
      </c>
      <c r="S23" s="50" t="s">
        <v>170</v>
      </c>
      <c r="T23" s="51" t="s">
        <v>124</v>
      </c>
      <c r="U23" s="49" t="s">
        <v>144</v>
      </c>
      <c r="V23" s="229" t="s">
        <v>171</v>
      </c>
      <c r="W23" s="50" t="s">
        <v>172</v>
      </c>
      <c r="X23" s="51" t="s">
        <v>124</v>
      </c>
      <c r="Y23" s="49" t="s">
        <v>144</v>
      </c>
      <c r="Z23" s="229" t="s">
        <v>176</v>
      </c>
      <c r="AA23" s="50" t="s">
        <v>177</v>
      </c>
      <c r="AB23" s="51" t="s">
        <v>124</v>
      </c>
      <c r="AC23" s="49" t="s">
        <v>144</v>
      </c>
      <c r="AD23" s="229" t="s">
        <v>129</v>
      </c>
      <c r="AE23" s="50" t="s">
        <v>152</v>
      </c>
      <c r="AF23" s="51" t="s">
        <v>124</v>
      </c>
      <c r="AG23" s="49" t="s">
        <v>144</v>
      </c>
      <c r="AH23" s="229" t="s">
        <v>117</v>
      </c>
      <c r="AI23" s="50" t="s">
        <v>151</v>
      </c>
      <c r="AJ23" s="51" t="s">
        <v>124</v>
      </c>
      <c r="AK23" s="49" t="s">
        <v>144</v>
      </c>
      <c r="AL23" s="229" t="s">
        <v>118</v>
      </c>
      <c r="AM23" s="50" t="s">
        <v>150</v>
      </c>
      <c r="AN23" s="51" t="s">
        <v>124</v>
      </c>
      <c r="AO23" s="49" t="s">
        <v>144</v>
      </c>
      <c r="AP23" s="229" t="s">
        <v>119</v>
      </c>
      <c r="AQ23" s="50"/>
      <c r="AR23" s="49"/>
      <c r="AT23" s="38"/>
      <c r="AU23" s="38"/>
    </row>
    <row r="24" spans="1:47" s="55" customFormat="1" x14ac:dyDescent="0.2">
      <c r="A24" s="59"/>
      <c r="B24" s="59"/>
      <c r="C24" s="59"/>
      <c r="D24" s="59"/>
      <c r="E24" s="59"/>
      <c r="F24" s="59"/>
      <c r="G24" s="59"/>
      <c r="H24" s="59"/>
      <c r="I24" s="59"/>
      <c r="J24" s="59"/>
      <c r="K24" s="59"/>
      <c r="L24" s="370"/>
      <c r="M24" s="370"/>
      <c r="N24" s="448"/>
      <c r="P24" s="56" t="s">
        <v>127</v>
      </c>
      <c r="Q24" s="57" t="s">
        <v>127</v>
      </c>
      <c r="R24" s="230" t="s">
        <v>3</v>
      </c>
      <c r="S24" s="231" t="s">
        <v>3</v>
      </c>
      <c r="T24" s="56" t="s">
        <v>127</v>
      </c>
      <c r="U24" s="57" t="s">
        <v>127</v>
      </c>
      <c r="V24" s="230" t="s">
        <v>3</v>
      </c>
      <c r="W24" s="231" t="s">
        <v>3</v>
      </c>
      <c r="X24" s="56" t="s">
        <v>127</v>
      </c>
      <c r="Y24" s="57" t="s">
        <v>127</v>
      </c>
      <c r="Z24" s="230" t="s">
        <v>3</v>
      </c>
      <c r="AA24" s="231" t="s">
        <v>3</v>
      </c>
      <c r="AB24" s="56" t="s">
        <v>127</v>
      </c>
      <c r="AC24" s="57" t="s">
        <v>127</v>
      </c>
      <c r="AD24" s="230" t="s">
        <v>3</v>
      </c>
      <c r="AE24" s="231" t="s">
        <v>3</v>
      </c>
      <c r="AF24" s="56" t="s">
        <v>127</v>
      </c>
      <c r="AG24" s="57" t="s">
        <v>127</v>
      </c>
      <c r="AH24" s="230" t="s">
        <v>3</v>
      </c>
      <c r="AI24" s="231" t="s">
        <v>3</v>
      </c>
      <c r="AJ24" s="56" t="s">
        <v>127</v>
      </c>
      <c r="AK24" s="57" t="s">
        <v>127</v>
      </c>
      <c r="AL24" s="230" t="s">
        <v>3</v>
      </c>
      <c r="AM24" s="231" t="s">
        <v>3</v>
      </c>
      <c r="AN24" s="56" t="s">
        <v>127</v>
      </c>
      <c r="AO24" s="57" t="s">
        <v>127</v>
      </c>
      <c r="AP24" s="230" t="s">
        <v>3</v>
      </c>
      <c r="AQ24" s="231" t="s">
        <v>3</v>
      </c>
      <c r="AR24" s="230"/>
    </row>
    <row r="25" spans="1:47" x14ac:dyDescent="0.2">
      <c r="A25" s="59">
        <v>10</v>
      </c>
      <c r="B25" s="368" t="s">
        <v>163</v>
      </c>
      <c r="C25" s="58">
        <f>DCOUNT(NotRetired0102,"Current Age",Tier10)</f>
        <v>14</v>
      </c>
      <c r="D25" s="63">
        <f>DCOUNT(NotRetired0102,"Years Service",TierA10)</f>
        <v>0</v>
      </c>
      <c r="E25" s="63">
        <f>DCOUNT(NotRetired0102,"Years Service",TierB10)</f>
        <v>0</v>
      </c>
      <c r="F25" s="63">
        <f>DCOUNT(NotRetired0102,"Years Service",TierC10)</f>
        <v>0</v>
      </c>
      <c r="G25" s="63">
        <f>DCOUNT(NotRetired0102,"Years Service",TierD10)</f>
        <v>0</v>
      </c>
      <c r="H25" s="58">
        <f>DCOUNT(NotRetired0102,"Years Service",TierE10)</f>
        <v>2</v>
      </c>
      <c r="I25" s="58">
        <f>DCOUNT(NotRetired0102,"Years Service",TierF10)</f>
        <v>1</v>
      </c>
      <c r="J25" s="58">
        <f>DCOUNT(NotRetired0102,"Years Service",TierG10)</f>
        <v>11</v>
      </c>
      <c r="K25" s="63"/>
      <c r="L25" s="369">
        <f>(SUMPRODUCT(D25:J25,$D$33:$J$33))/(SUM(D25:J25))</f>
        <v>27250</v>
      </c>
      <c r="M25" s="369">
        <f>(SUMPRODUCT(D25:J25,$D$35:$J$35))/(SUM(D25:J25))</f>
        <v>34500</v>
      </c>
      <c r="N25" s="447">
        <v>32000</v>
      </c>
      <c r="O25" t="s">
        <v>139</v>
      </c>
      <c r="P25" s="51" t="s">
        <v>125</v>
      </c>
      <c r="Q25" s="49" t="s">
        <v>143</v>
      </c>
      <c r="R25" s="229" t="s">
        <v>169</v>
      </c>
      <c r="S25" s="50" t="s">
        <v>170</v>
      </c>
      <c r="T25" s="51" t="s">
        <v>125</v>
      </c>
      <c r="U25" s="49" t="s">
        <v>143</v>
      </c>
      <c r="V25" s="229" t="s">
        <v>171</v>
      </c>
      <c r="W25" s="50" t="s">
        <v>172</v>
      </c>
      <c r="X25" s="51" t="s">
        <v>125</v>
      </c>
      <c r="Y25" s="49" t="s">
        <v>143</v>
      </c>
      <c r="Z25" s="229" t="s">
        <v>176</v>
      </c>
      <c r="AA25" s="50" t="s">
        <v>177</v>
      </c>
      <c r="AB25" s="51" t="s">
        <v>125</v>
      </c>
      <c r="AC25" s="49" t="s">
        <v>143</v>
      </c>
      <c r="AD25" s="229" t="s">
        <v>129</v>
      </c>
      <c r="AE25" s="50" t="s">
        <v>152</v>
      </c>
      <c r="AF25" s="51" t="s">
        <v>125</v>
      </c>
      <c r="AG25" s="49" t="s">
        <v>143</v>
      </c>
      <c r="AH25" s="229" t="s">
        <v>117</v>
      </c>
      <c r="AI25" s="50" t="s">
        <v>151</v>
      </c>
      <c r="AJ25" s="51" t="s">
        <v>125</v>
      </c>
      <c r="AK25" s="49" t="s">
        <v>143</v>
      </c>
      <c r="AL25" s="229" t="s">
        <v>118</v>
      </c>
      <c r="AM25" s="50" t="s">
        <v>150</v>
      </c>
      <c r="AN25" s="51" t="s">
        <v>125</v>
      </c>
      <c r="AO25" s="49" t="s">
        <v>143</v>
      </c>
      <c r="AP25" s="229" t="s">
        <v>119</v>
      </c>
      <c r="AQ25" s="50"/>
      <c r="AR25" s="49"/>
      <c r="AT25" s="38"/>
      <c r="AU25" s="38"/>
    </row>
    <row r="26" spans="1:47" s="55" customFormat="1" x14ac:dyDescent="0.2">
      <c r="A26" s="59"/>
      <c r="B26" s="59"/>
      <c r="C26" s="59"/>
      <c r="D26" s="59"/>
      <c r="E26" s="59"/>
      <c r="F26" s="59"/>
      <c r="G26" s="59"/>
      <c r="H26" s="59"/>
      <c r="I26" s="59"/>
      <c r="J26" s="59"/>
      <c r="K26" s="59"/>
      <c r="L26" s="370"/>
      <c r="M26" s="370"/>
      <c r="N26" s="448"/>
      <c r="P26" s="56" t="s">
        <v>127</v>
      </c>
      <c r="Q26" s="57" t="s">
        <v>127</v>
      </c>
      <c r="R26" s="230" t="s">
        <v>3</v>
      </c>
      <c r="S26" s="231" t="s">
        <v>3</v>
      </c>
      <c r="T26" s="56" t="s">
        <v>127</v>
      </c>
      <c r="U26" s="57" t="s">
        <v>127</v>
      </c>
      <c r="V26" s="230" t="s">
        <v>3</v>
      </c>
      <c r="W26" s="231" t="s">
        <v>3</v>
      </c>
      <c r="X26" s="56" t="s">
        <v>127</v>
      </c>
      <c r="Y26" s="57" t="s">
        <v>127</v>
      </c>
      <c r="Z26" s="230" t="s">
        <v>3</v>
      </c>
      <c r="AA26" s="231" t="s">
        <v>3</v>
      </c>
      <c r="AB26" s="56" t="s">
        <v>127</v>
      </c>
      <c r="AC26" s="57" t="s">
        <v>127</v>
      </c>
      <c r="AD26" s="230" t="s">
        <v>3</v>
      </c>
      <c r="AE26" s="231" t="s">
        <v>3</v>
      </c>
      <c r="AF26" s="56" t="s">
        <v>127</v>
      </c>
      <c r="AG26" s="57" t="s">
        <v>127</v>
      </c>
      <c r="AH26" s="230" t="s">
        <v>3</v>
      </c>
      <c r="AI26" s="231" t="s">
        <v>3</v>
      </c>
      <c r="AJ26" s="56" t="s">
        <v>127</v>
      </c>
      <c r="AK26" s="57" t="s">
        <v>127</v>
      </c>
      <c r="AL26" s="230" t="s">
        <v>3</v>
      </c>
      <c r="AM26" s="231" t="s">
        <v>3</v>
      </c>
      <c r="AN26" s="56" t="s">
        <v>127</v>
      </c>
      <c r="AO26" s="57" t="s">
        <v>127</v>
      </c>
      <c r="AP26" s="230" t="s">
        <v>3</v>
      </c>
      <c r="AQ26" s="231" t="s">
        <v>3</v>
      </c>
      <c r="AR26" s="230"/>
    </row>
    <row r="27" spans="1:47" ht="13.5" thickBot="1" x14ac:dyDescent="0.25">
      <c r="A27" s="59">
        <v>11</v>
      </c>
      <c r="B27" s="368" t="s">
        <v>164</v>
      </c>
      <c r="C27" s="58">
        <f>DCOUNT(NotRetired0102,"Current Age",Tier11)</f>
        <v>4</v>
      </c>
      <c r="D27" s="63">
        <f>DCOUNT(NotRetired0102,"Years Service",TierA11)</f>
        <v>0</v>
      </c>
      <c r="E27" s="63">
        <f>DCOUNT(NotRetired0102,"Years Service",TierB11)</f>
        <v>0</v>
      </c>
      <c r="F27" s="63">
        <f>DCOUNT(NotRetired0102,"Years Service",TierC11)</f>
        <v>0</v>
      </c>
      <c r="G27" s="63">
        <f>DCOUNT(NotRetired0102,"Years Service",TierD11)</f>
        <v>0</v>
      </c>
      <c r="H27" s="63">
        <f>DCOUNT(NotRetired0102,"Years Service",TierE11)</f>
        <v>0</v>
      </c>
      <c r="I27" s="63">
        <f>DCOUNT(NotRetired0102,"Years Service",TierF11)</f>
        <v>0</v>
      </c>
      <c r="J27" s="58">
        <f>DCOUNT(NotRetired0102,"Years Service",TierG11)</f>
        <v>4</v>
      </c>
      <c r="K27" s="63"/>
      <c r="L27" s="369">
        <v>28500</v>
      </c>
      <c r="M27" s="369">
        <f>(SUMPRODUCT(D27:J27,$D$35:$J$35))/(SUM(D27:J27))</f>
        <v>36000</v>
      </c>
      <c r="N27" s="450">
        <v>35000</v>
      </c>
      <c r="O27" t="s">
        <v>140</v>
      </c>
      <c r="P27" s="52" t="s">
        <v>126</v>
      </c>
      <c r="Q27" s="53"/>
      <c r="R27" s="233" t="s">
        <v>169</v>
      </c>
      <c r="S27" s="54" t="s">
        <v>170</v>
      </c>
      <c r="T27" s="52" t="s">
        <v>126</v>
      </c>
      <c r="U27" s="53"/>
      <c r="V27" s="233" t="s">
        <v>171</v>
      </c>
      <c r="W27" s="54" t="s">
        <v>172</v>
      </c>
      <c r="X27" s="52" t="s">
        <v>126</v>
      </c>
      <c r="Y27" s="53"/>
      <c r="Z27" s="229" t="s">
        <v>176</v>
      </c>
      <c r="AA27" s="50" t="s">
        <v>177</v>
      </c>
      <c r="AB27" s="52" t="s">
        <v>126</v>
      </c>
      <c r="AC27" s="53"/>
      <c r="AD27" s="229" t="s">
        <v>129</v>
      </c>
      <c r="AE27" s="50" t="s">
        <v>152</v>
      </c>
      <c r="AF27" s="52" t="s">
        <v>126</v>
      </c>
      <c r="AG27" s="53"/>
      <c r="AH27" s="229" t="s">
        <v>117</v>
      </c>
      <c r="AI27" s="50" t="s">
        <v>151</v>
      </c>
      <c r="AJ27" s="52" t="s">
        <v>126</v>
      </c>
      <c r="AK27" s="53"/>
      <c r="AL27" s="229" t="s">
        <v>118</v>
      </c>
      <c r="AM27" s="50" t="s">
        <v>150</v>
      </c>
      <c r="AN27" s="52" t="s">
        <v>126</v>
      </c>
      <c r="AO27" s="53"/>
      <c r="AP27" s="229" t="s">
        <v>119</v>
      </c>
      <c r="AQ27" s="50"/>
      <c r="AR27" s="49"/>
      <c r="AT27" s="38"/>
      <c r="AU27" s="38"/>
    </row>
    <row r="28" spans="1:47" x14ac:dyDescent="0.2">
      <c r="K28" s="59"/>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row>
    <row r="29" spans="1:47" ht="13.5" thickBot="1" x14ac:dyDescent="0.25">
      <c r="A29" s="59">
        <v>12</v>
      </c>
      <c r="C29" s="159">
        <f t="shared" ref="C29:J29" si="0">SUM(C7:C27)</f>
        <v>84</v>
      </c>
      <c r="D29" s="159">
        <f t="shared" si="0"/>
        <v>15</v>
      </c>
      <c r="E29" s="159">
        <f t="shared" si="0"/>
        <v>11</v>
      </c>
      <c r="F29" s="159">
        <f t="shared" si="0"/>
        <v>6</v>
      </c>
      <c r="G29" s="159">
        <f t="shared" si="0"/>
        <v>3</v>
      </c>
      <c r="H29" s="159">
        <f t="shared" si="0"/>
        <v>10</v>
      </c>
      <c r="I29" s="159">
        <f t="shared" si="0"/>
        <v>14</v>
      </c>
      <c r="J29" s="159">
        <f t="shared" si="0"/>
        <v>25</v>
      </c>
      <c r="K29" s="49"/>
      <c r="L29" s="37"/>
      <c r="M29" s="37"/>
      <c r="N29" s="37"/>
      <c r="P29" s="37"/>
      <c r="Q29" s="37" t="s">
        <v>141</v>
      </c>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T29" s="37"/>
      <c r="AU29" s="37"/>
    </row>
    <row r="30" spans="1:47" ht="13.5" thickTop="1" x14ac:dyDescent="0.2">
      <c r="B30" t="s">
        <v>310</v>
      </c>
      <c r="C30" s="456">
        <f>C29/$C$29</f>
        <v>1</v>
      </c>
      <c r="D30" s="456">
        <f>D29/$C$29</f>
        <v>0.17857142857142858</v>
      </c>
      <c r="E30" s="456">
        <f t="shared" ref="E30:J30" si="1">E29/$C$29</f>
        <v>0.13095238095238096</v>
      </c>
      <c r="F30" s="456">
        <f t="shared" si="1"/>
        <v>7.1428571428571425E-2</v>
      </c>
      <c r="G30" s="456">
        <f t="shared" si="1"/>
        <v>3.5714285714285712E-2</v>
      </c>
      <c r="H30" s="456">
        <f t="shared" si="1"/>
        <v>0.11904761904761904</v>
      </c>
      <c r="I30" s="456">
        <f t="shared" si="1"/>
        <v>0.16666666666666666</v>
      </c>
      <c r="J30" s="456">
        <f t="shared" si="1"/>
        <v>0.29761904761904762</v>
      </c>
    </row>
    <row r="31" spans="1:47" ht="13.5" thickBot="1" x14ac:dyDescent="0.25">
      <c r="C31" s="456"/>
      <c r="D31" s="456"/>
      <c r="E31" s="456"/>
      <c r="F31" s="456"/>
      <c r="G31" s="456"/>
      <c r="H31" s="456"/>
      <c r="I31" s="456"/>
      <c r="J31" s="456"/>
    </row>
    <row r="32" spans="1:47" x14ac:dyDescent="0.2">
      <c r="A32" s="59">
        <v>13</v>
      </c>
      <c r="B32" s="438" t="s">
        <v>275</v>
      </c>
      <c r="C32" s="439"/>
      <c r="D32" s="440">
        <f>28500/30*2</f>
        <v>1900</v>
      </c>
      <c r="E32" s="440">
        <f>28500/30*7</f>
        <v>6650</v>
      </c>
      <c r="F32" s="440">
        <f>28500/30*12</f>
        <v>11400</v>
      </c>
      <c r="G32" s="440">
        <f>28500/30*17</f>
        <v>16150</v>
      </c>
      <c r="H32" s="440">
        <f>28500/30*22</f>
        <v>20900</v>
      </c>
      <c r="I32" s="440">
        <f>28500/30*27</f>
        <v>25650</v>
      </c>
      <c r="J32" s="441">
        <f>28500/30*30</f>
        <v>28500</v>
      </c>
      <c r="K32" s="156"/>
    </row>
    <row r="33" spans="1:15" ht="13.5" thickBot="1" x14ac:dyDescent="0.25">
      <c r="A33" s="323">
        <v>14</v>
      </c>
      <c r="B33" s="442" t="s">
        <v>305</v>
      </c>
      <c r="C33" s="443"/>
      <c r="D33" s="444">
        <v>2000</v>
      </c>
      <c r="E33" s="444">
        <v>7000</v>
      </c>
      <c r="F33" s="444">
        <v>12000</v>
      </c>
      <c r="G33" s="444">
        <v>17000</v>
      </c>
      <c r="H33" s="444">
        <v>21000</v>
      </c>
      <c r="I33" s="444">
        <v>26000</v>
      </c>
      <c r="J33" s="445">
        <v>28500</v>
      </c>
      <c r="K33" s="156"/>
    </row>
    <row r="34" spans="1:15" x14ac:dyDescent="0.2">
      <c r="A34" s="323">
        <v>15</v>
      </c>
      <c r="B34" s="438" t="s">
        <v>276</v>
      </c>
      <c r="C34" s="439"/>
      <c r="D34" s="440">
        <f>36000/30*2</f>
        <v>2400</v>
      </c>
      <c r="E34" s="440">
        <f>36000/30*7</f>
        <v>8400</v>
      </c>
      <c r="F34" s="440">
        <f>36000/30*12</f>
        <v>14400</v>
      </c>
      <c r="G34" s="440">
        <f>36000/30*17</f>
        <v>20400</v>
      </c>
      <c r="H34" s="440">
        <f>36000/30*22</f>
        <v>26400</v>
      </c>
      <c r="I34" s="440">
        <f>36000/30*27</f>
        <v>32400</v>
      </c>
      <c r="J34" s="441">
        <f>36000/30*30</f>
        <v>36000</v>
      </c>
      <c r="K34" s="156"/>
    </row>
    <row r="35" spans="1:15" ht="13.5" thickBot="1" x14ac:dyDescent="0.25">
      <c r="A35" s="323">
        <v>16</v>
      </c>
      <c r="B35" s="442" t="s">
        <v>305</v>
      </c>
      <c r="C35" s="443"/>
      <c r="D35" s="444">
        <v>3000</v>
      </c>
      <c r="E35" s="444">
        <v>9000</v>
      </c>
      <c r="F35" s="444">
        <v>15000</v>
      </c>
      <c r="G35" s="444">
        <v>21000</v>
      </c>
      <c r="H35" s="444">
        <v>27000</v>
      </c>
      <c r="I35" s="444">
        <v>33000</v>
      </c>
      <c r="J35" s="445">
        <v>36000</v>
      </c>
      <c r="K35" s="156"/>
    </row>
    <row r="36" spans="1:15" x14ac:dyDescent="0.2">
      <c r="O36" s="44" t="s">
        <v>269</v>
      </c>
    </row>
    <row r="37" spans="1:15" x14ac:dyDescent="0.2">
      <c r="A37" s="323">
        <v>17</v>
      </c>
      <c r="B37" t="s">
        <v>268</v>
      </c>
      <c r="C37">
        <f>O37</f>
        <v>11</v>
      </c>
      <c r="O37">
        <f>COUNTIF('Detail_01-02'!$AI$5:$AI$99,"&lt;3999.99")</f>
        <v>11</v>
      </c>
    </row>
    <row r="38" spans="1:15" x14ac:dyDescent="0.2">
      <c r="A38" s="323">
        <v>18</v>
      </c>
      <c r="B38" s="363">
        <v>4000</v>
      </c>
      <c r="C38">
        <f t="shared" ref="C38:C53" si="2">O38-O39</f>
        <v>4</v>
      </c>
      <c r="E38" s="48" t="s">
        <v>270</v>
      </c>
      <c r="O38">
        <f>COUNTIF('Detail_01-02'!$AI$5:$AI$99,"&gt;3999.99")</f>
        <v>73</v>
      </c>
    </row>
    <row r="39" spans="1:15" x14ac:dyDescent="0.2">
      <c r="A39" s="323">
        <v>19</v>
      </c>
      <c r="B39" s="363">
        <v>6000</v>
      </c>
      <c r="C39">
        <f t="shared" si="2"/>
        <v>2</v>
      </c>
      <c r="O39">
        <f>COUNTIF('Detail_01-02'!$AI$5:$AI$99,"&gt;5999.99")</f>
        <v>69</v>
      </c>
    </row>
    <row r="40" spans="1:15" x14ac:dyDescent="0.2">
      <c r="A40" s="323">
        <v>20</v>
      </c>
      <c r="B40" s="363">
        <v>8000</v>
      </c>
      <c r="C40">
        <f t="shared" si="2"/>
        <v>5</v>
      </c>
      <c r="O40">
        <f>COUNTIF('Detail_01-02'!$AI$5:$AI$99,"&gt;7999.99")</f>
        <v>67</v>
      </c>
    </row>
    <row r="41" spans="1:15" x14ac:dyDescent="0.2">
      <c r="A41" s="323">
        <v>21</v>
      </c>
      <c r="B41" s="363">
        <v>10000</v>
      </c>
      <c r="C41">
        <f t="shared" si="2"/>
        <v>4</v>
      </c>
      <c r="O41">
        <f>COUNTIF('Detail_01-02'!$AI$5:$AI$99,"&gt;9999.99")</f>
        <v>62</v>
      </c>
    </row>
    <row r="42" spans="1:15" x14ac:dyDescent="0.2">
      <c r="A42" s="323">
        <v>22</v>
      </c>
      <c r="B42" s="363">
        <v>12000</v>
      </c>
      <c r="C42">
        <f t="shared" si="2"/>
        <v>1</v>
      </c>
      <c r="O42">
        <f>COUNTIF('Detail_01-02'!$AI$5:$AI$99,"&gt;11999.99")</f>
        <v>58</v>
      </c>
    </row>
    <row r="43" spans="1:15" x14ac:dyDescent="0.2">
      <c r="A43" s="323">
        <v>23</v>
      </c>
      <c r="B43" s="363">
        <v>14000</v>
      </c>
      <c r="C43">
        <f t="shared" si="2"/>
        <v>0</v>
      </c>
      <c r="O43">
        <f>COUNTIF('Detail_01-02'!$AI$5:$AI$99,"&gt;13999.99")</f>
        <v>57</v>
      </c>
    </row>
    <row r="44" spans="1:15" x14ac:dyDescent="0.2">
      <c r="A44" s="323">
        <v>24</v>
      </c>
      <c r="B44" s="363">
        <v>16000</v>
      </c>
      <c r="C44">
        <f t="shared" si="2"/>
        <v>5</v>
      </c>
      <c r="O44">
        <f>COUNTIF('Detail_01-02'!$AI$5:$AI$99,"&gt;15999.99")</f>
        <v>57</v>
      </c>
    </row>
    <row r="45" spans="1:15" x14ac:dyDescent="0.2">
      <c r="A45" s="323">
        <v>25</v>
      </c>
      <c r="B45" s="363">
        <v>18000</v>
      </c>
      <c r="C45">
        <f t="shared" si="2"/>
        <v>0</v>
      </c>
      <c r="O45">
        <f>COUNTIF('Detail_01-02'!$AI$5:$AI$99,"&gt;17999.99")</f>
        <v>52</v>
      </c>
    </row>
    <row r="46" spans="1:15" x14ac:dyDescent="0.2">
      <c r="A46" s="323">
        <v>26</v>
      </c>
      <c r="B46" s="363">
        <v>20000</v>
      </c>
      <c r="C46">
        <f t="shared" si="2"/>
        <v>0</v>
      </c>
      <c r="O46">
        <f>COUNTIF('Detail_01-02'!$AI$5:$AI$99,"&gt;19999.99")</f>
        <v>52</v>
      </c>
    </row>
    <row r="47" spans="1:15" x14ac:dyDescent="0.2">
      <c r="A47" s="323">
        <v>27</v>
      </c>
      <c r="B47" s="363">
        <v>22000</v>
      </c>
      <c r="C47">
        <f t="shared" si="2"/>
        <v>3</v>
      </c>
      <c r="O47">
        <f>COUNTIF('Detail_01-02'!$AI$5:$AI$99,"&gt;21999.99")</f>
        <v>52</v>
      </c>
    </row>
    <row r="48" spans="1:15" x14ac:dyDescent="0.2">
      <c r="A48" s="323">
        <v>28</v>
      </c>
      <c r="B48" s="363">
        <v>24000</v>
      </c>
      <c r="C48">
        <f t="shared" si="2"/>
        <v>3</v>
      </c>
      <c r="O48">
        <f>COUNTIF('Detail_01-02'!$AI$5:$AI$99,"&gt;23999.99")</f>
        <v>49</v>
      </c>
    </row>
    <row r="49" spans="1:15" x14ac:dyDescent="0.2">
      <c r="A49" s="323">
        <v>29</v>
      </c>
      <c r="B49" s="363">
        <v>26000</v>
      </c>
      <c r="C49">
        <f t="shared" si="2"/>
        <v>1</v>
      </c>
      <c r="O49">
        <f>COUNTIF('Detail_01-02'!$AI$5:$AI$99,"&gt;25999.99")</f>
        <v>46</v>
      </c>
    </row>
    <row r="50" spans="1:15" x14ac:dyDescent="0.2">
      <c r="A50" s="323">
        <v>30</v>
      </c>
      <c r="B50" s="363">
        <v>28000</v>
      </c>
      <c r="C50">
        <f t="shared" si="2"/>
        <v>6</v>
      </c>
      <c r="O50">
        <f>COUNTIF('Detail_01-02'!$AI$5:$AI$99,"&gt;27999.99")</f>
        <v>45</v>
      </c>
    </row>
    <row r="51" spans="1:15" x14ac:dyDescent="0.2">
      <c r="A51" s="323">
        <v>31</v>
      </c>
      <c r="B51" s="363">
        <v>30000</v>
      </c>
      <c r="C51">
        <f t="shared" si="2"/>
        <v>1</v>
      </c>
      <c r="O51">
        <f>COUNTIF('Detail_01-02'!$AI$5:$AI$99,"&gt;29999.99")</f>
        <v>39</v>
      </c>
    </row>
    <row r="52" spans="1:15" x14ac:dyDescent="0.2">
      <c r="A52" s="323">
        <v>32</v>
      </c>
      <c r="B52" s="363">
        <v>32000</v>
      </c>
      <c r="C52">
        <f t="shared" si="2"/>
        <v>5</v>
      </c>
      <c r="O52">
        <f>COUNTIF('Detail_01-02'!$AI$5:$AI$99,"&gt;31999.99")</f>
        <v>38</v>
      </c>
    </row>
    <row r="53" spans="1:15" x14ac:dyDescent="0.2">
      <c r="A53" s="323">
        <v>33</v>
      </c>
      <c r="B53" s="363">
        <v>34000</v>
      </c>
      <c r="C53">
        <f t="shared" si="2"/>
        <v>8</v>
      </c>
      <c r="O53">
        <f>COUNTIF('Detail_01-02'!$AI$5:$AI$99,"&gt;33999.99")</f>
        <v>33</v>
      </c>
    </row>
    <row r="54" spans="1:15" x14ac:dyDescent="0.2">
      <c r="A54" s="323">
        <v>34</v>
      </c>
      <c r="B54" s="363">
        <v>36000</v>
      </c>
      <c r="C54">
        <f>O54</f>
        <v>25</v>
      </c>
      <c r="O54">
        <f>COUNTIF('Detail_01-02'!$AI$5:$AI$99,"&gt;35999.99")</f>
        <v>25</v>
      </c>
    </row>
    <row r="55" spans="1:15" ht="13.5" thickBot="1" x14ac:dyDescent="0.25">
      <c r="A55" s="323">
        <v>35</v>
      </c>
      <c r="C55" s="364">
        <f>SUM(C37:C54)</f>
        <v>84</v>
      </c>
    </row>
    <row r="56" spans="1:15" ht="13.5" thickTop="1" x14ac:dyDescent="0.2"/>
  </sheetData>
  <mergeCells count="9">
    <mergeCell ref="D4:J4"/>
    <mergeCell ref="AD5:AE5"/>
    <mergeCell ref="AH5:AI5"/>
    <mergeCell ref="AL5:AM5"/>
    <mergeCell ref="AP5:AQ5"/>
    <mergeCell ref="P5:Q5"/>
    <mergeCell ref="R5:S5"/>
    <mergeCell ref="V5:W5"/>
    <mergeCell ref="Z5:AA5"/>
  </mergeCells>
  <phoneticPr fontId="0" type="noConversion"/>
  <pageMargins left="0.5" right="0.25" top="1" bottom="0.75" header="0.25" footer="0.5"/>
  <pageSetup scale="90" orientation="portrait" cellComments="asDisplayed" horizontalDpi="4294967293" r:id="rId1"/>
  <headerFooter alignWithMargins="0">
    <oddHeader>&amp;CAPPENDIX B
 Saint Louis Symphony Participant Data
 Calculation Page (See formula to Right
FY 2002 Data (Data as of 9-1-01)&amp;R&amp;D &amp;T</oddHeader>
    <oddFooter>&amp;L&amp;F&amp;A&amp;CPage x
Appendix B</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8"/>
  <sheetViews>
    <sheetView workbookViewId="0">
      <selection activeCell="A3" sqref="A3"/>
    </sheetView>
  </sheetViews>
  <sheetFormatPr defaultRowHeight="12.75" x14ac:dyDescent="0.2"/>
  <cols>
    <col min="1" max="1" width="9" customWidth="1"/>
    <col min="2" max="2" width="3.7109375" customWidth="1"/>
    <col min="3" max="3" width="90.28515625" style="491" customWidth="1"/>
    <col min="4" max="4" width="88.85546875" style="46" customWidth="1"/>
    <col min="5" max="5" width="12" customWidth="1"/>
    <col min="6" max="6" width="6.5703125" customWidth="1"/>
    <col min="7" max="7" width="12.85546875" customWidth="1"/>
    <col min="8" max="9" width="12.5703125" customWidth="1"/>
    <col min="10" max="10" width="14.85546875" customWidth="1"/>
  </cols>
  <sheetData>
    <row r="1" spans="1:10" ht="15" x14ac:dyDescent="0.2">
      <c r="A1" s="470"/>
      <c r="B1" s="470"/>
      <c r="C1" s="490"/>
      <c r="D1" s="471"/>
      <c r="E1" s="436"/>
      <c r="G1" s="436"/>
      <c r="H1" s="436"/>
      <c r="I1" s="436"/>
      <c r="J1" s="436"/>
    </row>
    <row r="2" spans="1:10" ht="15" x14ac:dyDescent="0.2">
      <c r="A2" s="470" t="s">
        <v>523</v>
      </c>
      <c r="B2" s="470"/>
      <c r="C2" s="490"/>
      <c r="D2" s="471"/>
      <c r="E2" s="436"/>
      <c r="G2" s="436"/>
      <c r="H2" s="436"/>
      <c r="I2" s="436"/>
      <c r="J2" s="436"/>
    </row>
    <row r="3" spans="1:10" ht="15" x14ac:dyDescent="0.2">
      <c r="A3" s="470" t="s">
        <v>325</v>
      </c>
      <c r="B3" s="470"/>
      <c r="C3" s="490"/>
      <c r="D3" s="472"/>
      <c r="F3" s="65"/>
    </row>
    <row r="4" spans="1:10" ht="15" x14ac:dyDescent="0.2">
      <c r="A4" s="470"/>
      <c r="B4" s="470"/>
      <c r="C4" s="490"/>
      <c r="D4" s="472"/>
      <c r="F4" s="65"/>
    </row>
    <row r="5" spans="1:10" ht="15.75" x14ac:dyDescent="0.25">
      <c r="A5" s="473" t="s">
        <v>320</v>
      </c>
      <c r="B5" s="470"/>
      <c r="C5" s="474"/>
      <c r="D5" s="471"/>
      <c r="J5" s="66"/>
    </row>
    <row r="6" spans="1:10" ht="15" x14ac:dyDescent="0.2">
      <c r="A6" s="489" t="s">
        <v>321</v>
      </c>
      <c r="B6" s="475"/>
      <c r="C6" s="477" t="s">
        <v>322</v>
      </c>
      <c r="D6" s="477"/>
      <c r="E6" s="458"/>
      <c r="F6" s="458"/>
      <c r="G6" s="458"/>
      <c r="H6" s="458"/>
      <c r="I6" s="458"/>
      <c r="J6" s="458"/>
    </row>
    <row r="7" spans="1:10" ht="45" x14ac:dyDescent="0.2">
      <c r="A7" s="489" t="s">
        <v>326</v>
      </c>
      <c r="B7" s="475"/>
      <c r="C7" s="492" t="s">
        <v>327</v>
      </c>
      <c r="D7" s="477"/>
      <c r="E7" s="459"/>
      <c r="F7" s="459"/>
      <c r="G7" s="459"/>
      <c r="H7" s="459"/>
      <c r="I7" s="459"/>
      <c r="J7" s="459"/>
    </row>
    <row r="8" spans="1:10" ht="30" x14ac:dyDescent="0.2">
      <c r="A8" s="489" t="s">
        <v>328</v>
      </c>
      <c r="B8" s="475"/>
      <c r="C8" s="477" t="s">
        <v>329</v>
      </c>
      <c r="D8" s="477"/>
      <c r="E8" s="459"/>
      <c r="F8" s="459"/>
      <c r="G8" s="459"/>
      <c r="H8" s="459"/>
      <c r="I8" s="459"/>
      <c r="J8" s="459"/>
    </row>
    <row r="9" spans="1:10" ht="15" x14ac:dyDescent="0.2">
      <c r="A9" s="475"/>
      <c r="B9" s="475"/>
      <c r="C9" s="475"/>
      <c r="D9" s="477"/>
      <c r="E9" s="458"/>
      <c r="F9" s="458"/>
      <c r="G9" s="458"/>
      <c r="H9" s="458"/>
      <c r="I9" s="458"/>
      <c r="J9" s="458"/>
    </row>
    <row r="10" spans="1:10" ht="15" x14ac:dyDescent="0.2">
      <c r="A10" s="475"/>
      <c r="B10" s="475"/>
      <c r="C10" s="478"/>
      <c r="D10" s="477"/>
      <c r="E10" s="460"/>
      <c r="F10" s="458"/>
      <c r="G10" s="460"/>
      <c r="H10" s="460"/>
      <c r="I10" s="460"/>
      <c r="J10" s="460"/>
    </row>
    <row r="11" spans="1:10" ht="15.75" x14ac:dyDescent="0.2">
      <c r="A11" s="479" t="s">
        <v>323</v>
      </c>
      <c r="B11" s="475"/>
      <c r="C11" s="475"/>
      <c r="D11" s="477"/>
      <c r="E11" s="458"/>
      <c r="F11" s="458"/>
      <c r="G11" s="458"/>
      <c r="H11" s="458"/>
      <c r="I11" s="458"/>
      <c r="J11" s="458"/>
    </row>
    <row r="12" spans="1:10" ht="30" x14ac:dyDescent="0.2">
      <c r="A12" s="489" t="s">
        <v>324</v>
      </c>
      <c r="B12" s="475"/>
      <c r="C12" s="492" t="s">
        <v>330</v>
      </c>
      <c r="D12" s="477"/>
      <c r="E12" s="458"/>
      <c r="F12" s="458"/>
      <c r="G12" s="458"/>
      <c r="H12" s="458"/>
      <c r="I12" s="458"/>
      <c r="J12" s="458"/>
    </row>
    <row r="13" spans="1:10" ht="15" x14ac:dyDescent="0.2">
      <c r="A13" s="475"/>
      <c r="B13" s="475"/>
      <c r="C13" s="476"/>
      <c r="D13" s="477"/>
      <c r="E13" s="459"/>
      <c r="F13" s="459"/>
      <c r="G13" s="461"/>
      <c r="H13" s="459"/>
      <c r="I13" s="459"/>
      <c r="J13" s="459"/>
    </row>
    <row r="14" spans="1:10" ht="15" x14ac:dyDescent="0.2">
      <c r="A14" s="475"/>
      <c r="B14" s="475"/>
      <c r="C14" s="475"/>
      <c r="D14" s="477"/>
      <c r="E14" s="459"/>
      <c r="F14" s="459"/>
      <c r="G14" s="459"/>
      <c r="H14" s="459"/>
      <c r="I14" s="459"/>
      <c r="J14" s="459"/>
    </row>
    <row r="15" spans="1:10" ht="15.75" x14ac:dyDescent="0.2">
      <c r="A15" s="479" t="s">
        <v>331</v>
      </c>
      <c r="B15" s="475"/>
      <c r="C15" s="475"/>
      <c r="D15" s="477"/>
      <c r="E15" s="458"/>
      <c r="F15" s="458"/>
      <c r="G15" s="458"/>
      <c r="H15" s="458"/>
      <c r="I15" s="458"/>
      <c r="J15" s="458"/>
    </row>
    <row r="16" spans="1:10" ht="60" x14ac:dyDescent="0.2">
      <c r="A16" s="489" t="s">
        <v>324</v>
      </c>
      <c r="B16" s="475"/>
      <c r="C16" s="492" t="s">
        <v>332</v>
      </c>
      <c r="D16" s="477"/>
      <c r="E16" s="462"/>
      <c r="F16" s="372"/>
      <c r="G16" s="462"/>
      <c r="H16" s="462"/>
      <c r="I16" s="462"/>
      <c r="J16" s="462"/>
    </row>
    <row r="17" spans="1:10" ht="15" x14ac:dyDescent="0.2">
      <c r="A17" s="475"/>
      <c r="B17" s="475"/>
      <c r="C17" s="476"/>
      <c r="D17" s="477"/>
      <c r="E17" s="464"/>
      <c r="F17" s="372"/>
      <c r="G17" s="464"/>
      <c r="H17" s="464"/>
      <c r="I17" s="464"/>
      <c r="J17" s="464"/>
    </row>
    <row r="18" spans="1:10" ht="15" x14ac:dyDescent="0.2">
      <c r="A18" s="475"/>
      <c r="B18" s="475"/>
      <c r="C18" s="476"/>
      <c r="D18" s="477"/>
      <c r="E18" s="463"/>
      <c r="F18" s="372"/>
      <c r="G18" s="323"/>
      <c r="H18" s="463"/>
      <c r="I18" s="463"/>
      <c r="J18" s="463"/>
    </row>
    <row r="19" spans="1:10" ht="15" x14ac:dyDescent="0.2">
      <c r="A19" s="475"/>
      <c r="B19" s="475"/>
      <c r="C19" s="476"/>
      <c r="D19" s="482"/>
      <c r="E19" s="465"/>
      <c r="F19" s="466"/>
      <c r="G19" s="465"/>
      <c r="H19" s="465"/>
      <c r="I19" s="465"/>
      <c r="J19" s="465"/>
    </row>
    <row r="20" spans="1:10" x14ac:dyDescent="0.2">
      <c r="A20" s="493"/>
      <c r="B20" s="493"/>
      <c r="C20" s="493"/>
      <c r="D20" s="494"/>
      <c r="E20" s="323"/>
      <c r="F20" s="323"/>
      <c r="G20" s="323"/>
      <c r="H20" s="323"/>
      <c r="I20" s="323"/>
      <c r="J20" s="323"/>
    </row>
    <row r="21" spans="1:10" x14ac:dyDescent="0.2">
      <c r="A21" s="493"/>
      <c r="B21" s="493"/>
      <c r="C21" s="493"/>
      <c r="D21" s="495"/>
      <c r="E21" s="61"/>
      <c r="F21" s="61"/>
      <c r="G21" s="323"/>
      <c r="H21" s="323"/>
      <c r="I21" s="323"/>
      <c r="J21" s="323"/>
    </row>
    <row r="22" spans="1:10" x14ac:dyDescent="0.2">
      <c r="A22" s="493"/>
      <c r="B22" s="493"/>
      <c r="C22" s="493"/>
      <c r="D22" s="495"/>
      <c r="E22" s="323"/>
      <c r="F22" s="323"/>
      <c r="G22" s="323"/>
      <c r="H22" s="323"/>
      <c r="I22" s="323"/>
      <c r="J22" s="323"/>
    </row>
    <row r="23" spans="1:10" x14ac:dyDescent="0.2">
      <c r="A23" s="493"/>
      <c r="B23" s="493"/>
      <c r="C23" s="493"/>
      <c r="D23" s="495"/>
      <c r="E23" s="323"/>
      <c r="F23" s="323"/>
      <c r="G23" s="323"/>
      <c r="H23" s="323"/>
      <c r="I23" s="323"/>
      <c r="J23" s="323"/>
    </row>
    <row r="24" spans="1:10" x14ac:dyDescent="0.2">
      <c r="A24" s="493"/>
      <c r="B24" s="493"/>
      <c r="C24" s="493"/>
      <c r="D24" s="495"/>
      <c r="E24" s="323"/>
      <c r="F24" s="323"/>
      <c r="G24" s="323"/>
      <c r="H24" s="323"/>
      <c r="I24" s="323"/>
      <c r="J24" s="323"/>
    </row>
    <row r="25" spans="1:10" x14ac:dyDescent="0.2">
      <c r="A25" s="493"/>
      <c r="B25" s="493"/>
      <c r="C25" s="493"/>
      <c r="D25" s="495"/>
      <c r="E25" s="323"/>
      <c r="F25" s="323"/>
      <c r="G25" s="323"/>
      <c r="H25" s="323"/>
      <c r="I25" s="323"/>
      <c r="J25" s="323"/>
    </row>
    <row r="26" spans="1:10" x14ac:dyDescent="0.2">
      <c r="A26" s="493"/>
      <c r="B26" s="493"/>
      <c r="C26" s="493"/>
      <c r="D26" s="495"/>
      <c r="E26" s="323"/>
      <c r="F26" s="323"/>
      <c r="G26" s="323"/>
      <c r="H26" s="323"/>
      <c r="I26" s="323"/>
      <c r="J26" s="323"/>
    </row>
    <row r="27" spans="1:10" x14ac:dyDescent="0.2">
      <c r="A27" s="493"/>
      <c r="B27" s="493"/>
      <c r="C27" s="493"/>
      <c r="D27" s="495"/>
      <c r="E27" s="323"/>
      <c r="F27" s="323"/>
      <c r="G27" s="323"/>
      <c r="H27" s="323"/>
      <c r="I27" s="323"/>
      <c r="J27" s="323"/>
    </row>
    <row r="28" spans="1:10" x14ac:dyDescent="0.2">
      <c r="A28" s="493"/>
      <c r="B28" s="493"/>
      <c r="C28" s="493"/>
      <c r="D28" s="495"/>
      <c r="E28" s="323"/>
      <c r="F28" s="323"/>
      <c r="G28" s="323"/>
      <c r="H28" s="323"/>
      <c r="I28" s="323"/>
      <c r="J28" s="323"/>
    </row>
    <row r="29" spans="1:10" x14ac:dyDescent="0.2">
      <c r="A29" s="496"/>
      <c r="B29" s="496"/>
      <c r="C29" s="497"/>
      <c r="D29" s="498"/>
      <c r="E29" s="323"/>
      <c r="F29" s="323"/>
      <c r="G29" s="323"/>
      <c r="H29" s="323"/>
      <c r="I29" s="323"/>
      <c r="J29" s="323"/>
    </row>
    <row r="30" spans="1:10" x14ac:dyDescent="0.2">
      <c r="A30" s="496"/>
      <c r="B30" s="496"/>
      <c r="C30" s="497"/>
      <c r="D30" s="498"/>
      <c r="E30" s="323"/>
      <c r="F30" s="323"/>
      <c r="G30" s="323"/>
      <c r="H30" s="323"/>
      <c r="I30" s="323"/>
      <c r="J30" s="323"/>
    </row>
    <row r="31" spans="1:10" x14ac:dyDescent="0.2">
      <c r="A31" s="496"/>
      <c r="B31" s="496"/>
      <c r="C31" s="497"/>
      <c r="D31" s="498"/>
      <c r="E31" s="323"/>
      <c r="F31" s="323"/>
      <c r="G31" s="323"/>
      <c r="H31" s="323"/>
      <c r="I31" s="323"/>
      <c r="J31" s="323"/>
    </row>
    <row r="32" spans="1:10" x14ac:dyDescent="0.2">
      <c r="A32" s="496"/>
      <c r="B32" s="496"/>
      <c r="C32" s="497"/>
      <c r="D32" s="498"/>
      <c r="E32" s="323"/>
      <c r="F32" s="323"/>
      <c r="G32" s="323"/>
      <c r="H32" s="323"/>
      <c r="I32" s="323"/>
      <c r="J32" s="323"/>
    </row>
    <row r="33" spans="5:10" x14ac:dyDescent="0.2">
      <c r="E33" s="323"/>
      <c r="F33" s="323"/>
      <c r="G33" s="323"/>
      <c r="H33" s="323"/>
      <c r="I33" s="323"/>
      <c r="J33" s="323"/>
    </row>
    <row r="34" spans="5:10" x14ac:dyDescent="0.2">
      <c r="E34" s="323"/>
      <c r="F34" s="323"/>
      <c r="G34" s="323"/>
      <c r="H34" s="323"/>
      <c r="I34" s="323"/>
      <c r="J34" s="323"/>
    </row>
    <row r="35" spans="5:10" x14ac:dyDescent="0.2">
      <c r="E35" s="323"/>
      <c r="F35" s="323"/>
      <c r="G35" s="323"/>
      <c r="H35" s="323"/>
      <c r="I35" s="323"/>
      <c r="J35" s="323"/>
    </row>
    <row r="36" spans="5:10" x14ac:dyDescent="0.2">
      <c r="E36" s="323"/>
      <c r="F36" s="323"/>
      <c r="G36" s="323"/>
      <c r="H36" s="323"/>
      <c r="I36" s="323"/>
      <c r="J36" s="323"/>
    </row>
    <row r="37" spans="5:10" x14ac:dyDescent="0.2">
      <c r="E37" s="323"/>
      <c r="F37" s="323"/>
      <c r="G37" s="323"/>
      <c r="H37" s="323"/>
      <c r="I37" s="323"/>
      <c r="J37" s="323"/>
    </row>
    <row r="38" spans="5:10" x14ac:dyDescent="0.2">
      <c r="E38" s="323"/>
      <c r="F38" s="323"/>
      <c r="G38" s="323"/>
      <c r="H38" s="323"/>
      <c r="I38" s="323"/>
      <c r="J38" s="323"/>
    </row>
    <row r="39" spans="5:10" x14ac:dyDescent="0.2">
      <c r="E39" s="323"/>
      <c r="F39" s="323"/>
      <c r="G39" s="323"/>
      <c r="H39" s="323"/>
      <c r="I39" s="323"/>
      <c r="J39" s="323"/>
    </row>
    <row r="40" spans="5:10" x14ac:dyDescent="0.2">
      <c r="E40" s="323"/>
      <c r="F40" s="323"/>
      <c r="G40" s="323"/>
      <c r="H40" s="323"/>
      <c r="I40" s="323"/>
      <c r="J40" s="323"/>
    </row>
    <row r="41" spans="5:10" x14ac:dyDescent="0.2">
      <c r="E41" s="323"/>
      <c r="F41" s="323"/>
      <c r="G41" s="323"/>
      <c r="H41" s="323"/>
      <c r="I41" s="323"/>
      <c r="J41" s="323"/>
    </row>
    <row r="42" spans="5:10" x14ac:dyDescent="0.2">
      <c r="E42" s="323"/>
      <c r="F42" s="323"/>
      <c r="G42" s="323"/>
      <c r="H42" s="323"/>
      <c r="I42" s="323"/>
      <c r="J42" s="323"/>
    </row>
    <row r="43" spans="5:10" x14ac:dyDescent="0.2">
      <c r="E43" s="323"/>
      <c r="F43" s="323"/>
      <c r="G43" s="323"/>
      <c r="H43" s="323"/>
      <c r="I43" s="323"/>
      <c r="J43" s="323"/>
    </row>
    <row r="44" spans="5:10" x14ac:dyDescent="0.2">
      <c r="E44" s="323"/>
      <c r="F44" s="323"/>
      <c r="G44" s="323"/>
      <c r="H44" s="323"/>
      <c r="I44" s="323"/>
      <c r="J44" s="323"/>
    </row>
    <row r="45" spans="5:10" x14ac:dyDescent="0.2">
      <c r="E45" s="323"/>
      <c r="F45" s="323"/>
      <c r="G45" s="323"/>
      <c r="H45" s="323"/>
      <c r="I45" s="323"/>
      <c r="J45" s="323"/>
    </row>
    <row r="46" spans="5:10" x14ac:dyDescent="0.2">
      <c r="E46" s="323"/>
      <c r="F46" s="323"/>
      <c r="G46" s="323"/>
      <c r="H46" s="323"/>
      <c r="I46" s="323"/>
      <c r="J46" s="323"/>
    </row>
    <row r="47" spans="5:10" x14ac:dyDescent="0.2">
      <c r="E47" s="323"/>
      <c r="F47" s="323"/>
      <c r="G47" s="323"/>
      <c r="H47" s="323"/>
      <c r="I47" s="323"/>
      <c r="J47" s="323"/>
    </row>
    <row r="48" spans="5:10" x14ac:dyDescent="0.2">
      <c r="E48" s="323"/>
      <c r="F48" s="323"/>
      <c r="G48" s="323"/>
      <c r="H48" s="323"/>
      <c r="I48" s="323"/>
      <c r="J48" s="323"/>
    </row>
  </sheetData>
  <phoneticPr fontId="0" type="noConversion"/>
  <pageMargins left="0.5" right="0.25" top="0.5" bottom="0.75" header="0.25" footer="0.5"/>
  <pageSetup scale="90" orientation="portrait" r:id="rId1"/>
  <headerFooter alignWithMargins="0">
    <oddHeader>&amp;C Legend - Appendix B</oddHeader>
    <oddFooter>&amp;CPage x
Legend - Appendix B</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R238"/>
  <sheetViews>
    <sheetView zoomScale="75" zoomScaleNormal="75" workbookViewId="0">
      <pane xSplit="3" ySplit="4" topLeftCell="D5" activePane="bottomRight" state="frozen"/>
      <selection pane="topRight" activeCell="D1" sqref="D1"/>
      <selection pane="bottomLeft" activeCell="A4" sqref="A4"/>
      <selection pane="bottomRight" activeCell="V25" sqref="V25"/>
    </sheetView>
  </sheetViews>
  <sheetFormatPr defaultRowHeight="12.75" x14ac:dyDescent="0.2"/>
  <cols>
    <col min="1" max="1" width="11" style="3" customWidth="1"/>
    <col min="2" max="2" width="6.7109375" style="3" customWidth="1"/>
    <col min="3" max="3" width="11.28515625" style="3" customWidth="1"/>
    <col min="4" max="5" width="20.28515625" style="253" customWidth="1"/>
    <col min="6" max="6" width="6.7109375" style="104" customWidth="1"/>
    <col min="7" max="7" width="9.5703125" style="3" customWidth="1"/>
    <col min="8" max="8" width="13.5703125" style="104" customWidth="1"/>
    <col min="9" max="9" width="13" style="104" customWidth="1"/>
    <col min="10" max="11" width="13" style="3" customWidth="1"/>
    <col min="12" max="12" width="11.7109375" style="180" customWidth="1"/>
    <col min="13" max="13" width="9.7109375" style="237" customWidth="1"/>
    <col min="14" max="14" width="6.140625" style="127" customWidth="1"/>
    <col min="15" max="15" width="13" style="181" customWidth="1"/>
    <col min="16" max="16" width="10.140625" style="3" customWidth="1"/>
    <col min="17" max="17" width="8.28515625" style="40" customWidth="1"/>
    <col min="18" max="18" width="9.42578125" style="3" customWidth="1"/>
    <col min="19" max="19" width="2.7109375" style="3" customWidth="1"/>
    <col min="20" max="20" width="8.85546875" style="3" customWidth="1"/>
    <col min="21" max="21" width="13.85546875" style="1" customWidth="1"/>
    <col min="22" max="23" width="14.28515625" style="274" customWidth="1"/>
    <col min="24" max="26" width="13.28515625" style="149" customWidth="1"/>
    <col min="27" max="32" width="14.7109375" style="149" customWidth="1"/>
    <col min="33" max="33" width="11.28515625" style="144" customWidth="1"/>
    <col min="34" max="34" width="14.7109375" customWidth="1"/>
    <col min="35" max="35" width="14.7109375" style="410" customWidth="1"/>
    <col min="36" max="38" width="14.7109375" customWidth="1"/>
    <col min="40" max="40" width="10.7109375" customWidth="1"/>
    <col min="41" max="41" width="13.5703125" customWidth="1"/>
    <col min="42" max="42" width="11.28515625" customWidth="1"/>
    <col min="43" max="44" width="12.7109375" customWidth="1"/>
  </cols>
  <sheetData>
    <row r="1" spans="1:44" x14ac:dyDescent="0.2">
      <c r="D1" s="256" t="s">
        <v>525</v>
      </c>
      <c r="O1" s="100" t="s">
        <v>239</v>
      </c>
      <c r="V1" s="275" t="s">
        <v>229</v>
      </c>
      <c r="W1" s="275" t="s">
        <v>239</v>
      </c>
      <c r="X1" s="100" t="s">
        <v>213</v>
      </c>
      <c r="Y1" s="100" t="s">
        <v>213</v>
      </c>
      <c r="Z1" s="100" t="s">
        <v>213</v>
      </c>
      <c r="AA1" s="380" t="s">
        <v>86</v>
      </c>
      <c r="AB1" s="380" t="s">
        <v>86</v>
      </c>
      <c r="AC1" s="380" t="s">
        <v>86</v>
      </c>
      <c r="AD1" s="380" t="s">
        <v>284</v>
      </c>
      <c r="AE1" s="380" t="s">
        <v>284</v>
      </c>
      <c r="AF1" s="380" t="s">
        <v>284</v>
      </c>
      <c r="AH1" s="44" t="s">
        <v>247</v>
      </c>
      <c r="AI1" s="408" t="s">
        <v>209</v>
      </c>
      <c r="AJ1" s="44" t="s">
        <v>239</v>
      </c>
      <c r="AK1" s="44" t="s">
        <v>239</v>
      </c>
      <c r="AL1" s="44"/>
    </row>
    <row r="2" spans="1:44" ht="13.5" thickBot="1" x14ac:dyDescent="0.25">
      <c r="G2" s="69" t="s">
        <v>207</v>
      </c>
      <c r="H2" s="504" t="s">
        <v>42</v>
      </c>
      <c r="J2" s="3" t="s">
        <v>73</v>
      </c>
      <c r="L2" s="182" t="s">
        <v>213</v>
      </c>
      <c r="M2" s="238" t="s">
        <v>215</v>
      </c>
      <c r="N2" s="123"/>
      <c r="O2" s="100" t="s">
        <v>299</v>
      </c>
      <c r="P2" s="69" t="s">
        <v>199</v>
      </c>
      <c r="Q2" s="40" t="s">
        <v>199</v>
      </c>
      <c r="T2" s="3" t="s">
        <v>213</v>
      </c>
      <c r="V2" s="275" t="s">
        <v>203</v>
      </c>
      <c r="W2" s="275" t="s">
        <v>292</v>
      </c>
      <c r="X2" s="83" t="s">
        <v>209</v>
      </c>
      <c r="Y2" s="83" t="s">
        <v>209</v>
      </c>
      <c r="Z2" s="83" t="s">
        <v>209</v>
      </c>
      <c r="AA2" s="147" t="s">
        <v>229</v>
      </c>
      <c r="AB2" s="147" t="s">
        <v>229</v>
      </c>
      <c r="AC2" s="147" t="s">
        <v>229</v>
      </c>
      <c r="AD2" s="147" t="s">
        <v>229</v>
      </c>
      <c r="AE2" s="147" t="s">
        <v>229</v>
      </c>
      <c r="AF2" s="147" t="s">
        <v>229</v>
      </c>
      <c r="AH2" s="44" t="s">
        <v>248</v>
      </c>
      <c r="AI2" s="408" t="s">
        <v>205</v>
      </c>
      <c r="AJ2" s="44" t="s">
        <v>238</v>
      </c>
      <c r="AK2" s="44" t="s">
        <v>238</v>
      </c>
      <c r="AL2" s="44" t="s">
        <v>301</v>
      </c>
    </row>
    <row r="3" spans="1:44" ht="13.5" thickBot="1" x14ac:dyDescent="0.25">
      <c r="C3" s="12"/>
      <c r="D3" s="101"/>
      <c r="E3" s="101"/>
      <c r="F3" s="105" t="s">
        <v>4</v>
      </c>
      <c r="G3" s="183" t="s">
        <v>208</v>
      </c>
      <c r="H3" s="113" t="s">
        <v>217</v>
      </c>
      <c r="J3" s="3" t="s">
        <v>206</v>
      </c>
      <c r="L3" s="182" t="s">
        <v>214</v>
      </c>
      <c r="M3" s="239" t="s">
        <v>39</v>
      </c>
      <c r="N3" s="124" t="s">
        <v>153</v>
      </c>
      <c r="O3" s="83" t="s">
        <v>300</v>
      </c>
      <c r="P3" s="182" t="s">
        <v>36</v>
      </c>
      <c r="Q3" s="184" t="s">
        <v>153</v>
      </c>
      <c r="R3" s="69" t="s">
        <v>215</v>
      </c>
      <c r="T3" s="69" t="s">
        <v>202</v>
      </c>
      <c r="U3" s="79" t="s">
        <v>200</v>
      </c>
      <c r="V3" s="275" t="s">
        <v>294</v>
      </c>
      <c r="W3" s="275" t="s">
        <v>297</v>
      </c>
      <c r="X3" s="83" t="s">
        <v>205</v>
      </c>
      <c r="Y3" s="83" t="s">
        <v>205</v>
      </c>
      <c r="Z3" s="83" t="s">
        <v>205</v>
      </c>
      <c r="AA3" s="147" t="s">
        <v>203</v>
      </c>
      <c r="AB3" s="147" t="s">
        <v>203</v>
      </c>
      <c r="AC3" s="147" t="s">
        <v>203</v>
      </c>
      <c r="AD3" s="147" t="s">
        <v>203</v>
      </c>
      <c r="AE3" s="147" t="s">
        <v>203</v>
      </c>
      <c r="AF3" s="147" t="s">
        <v>203</v>
      </c>
      <c r="AG3" s="146" t="s">
        <v>230</v>
      </c>
      <c r="AH3" s="44" t="s">
        <v>205</v>
      </c>
      <c r="AI3" s="408" t="s">
        <v>238</v>
      </c>
      <c r="AJ3" s="44" t="s">
        <v>86</v>
      </c>
      <c r="AK3" s="44" t="s">
        <v>203</v>
      </c>
      <c r="AL3" s="434">
        <v>50</v>
      </c>
    </row>
    <row r="4" spans="1:44" x14ac:dyDescent="0.2">
      <c r="A4" s="3" t="s">
        <v>165</v>
      </c>
      <c r="B4" s="3" t="s">
        <v>113</v>
      </c>
      <c r="C4" s="3" t="s">
        <v>216</v>
      </c>
      <c r="D4" s="254" t="s">
        <v>0</v>
      </c>
      <c r="E4" s="254" t="s">
        <v>110</v>
      </c>
      <c r="F4" s="106" t="s">
        <v>4</v>
      </c>
      <c r="G4" s="69" t="s">
        <v>153</v>
      </c>
      <c r="H4" s="113" t="s">
        <v>1</v>
      </c>
      <c r="I4" s="106" t="s">
        <v>2</v>
      </c>
      <c r="J4" s="4" t="s">
        <v>12</v>
      </c>
      <c r="K4" s="4" t="s">
        <v>112</v>
      </c>
      <c r="L4" s="186" t="s">
        <v>212</v>
      </c>
      <c r="M4" s="239" t="s">
        <v>205</v>
      </c>
      <c r="N4" s="124" t="s">
        <v>228</v>
      </c>
      <c r="O4" s="83" t="s">
        <v>298</v>
      </c>
      <c r="P4" s="187" t="s">
        <v>3</v>
      </c>
      <c r="Q4" s="188" t="s">
        <v>127</v>
      </c>
      <c r="R4" s="69" t="s">
        <v>128</v>
      </c>
      <c r="T4" s="69" t="s">
        <v>38</v>
      </c>
      <c r="U4" s="80" t="s">
        <v>201</v>
      </c>
      <c r="V4" s="276" t="s">
        <v>204</v>
      </c>
      <c r="W4" s="275" t="s">
        <v>298</v>
      </c>
      <c r="X4" s="147" t="s">
        <v>254</v>
      </c>
      <c r="Y4" s="147" t="s">
        <v>250</v>
      </c>
      <c r="Z4" s="147" t="s">
        <v>251</v>
      </c>
      <c r="AA4" s="147" t="s">
        <v>249</v>
      </c>
      <c r="AB4" s="147" t="s">
        <v>250</v>
      </c>
      <c r="AC4" s="147" t="s">
        <v>251</v>
      </c>
      <c r="AD4" s="147" t="s">
        <v>249</v>
      </c>
      <c r="AE4" s="147" t="s">
        <v>250</v>
      </c>
      <c r="AF4" s="147" t="s">
        <v>251</v>
      </c>
      <c r="AG4" s="146" t="s">
        <v>73</v>
      </c>
      <c r="AH4" s="44" t="s">
        <v>239</v>
      </c>
      <c r="AI4" s="408" t="s">
        <v>86</v>
      </c>
      <c r="AJ4" s="65" t="s">
        <v>286</v>
      </c>
      <c r="AK4" s="44" t="s">
        <v>287</v>
      </c>
      <c r="AL4" s="44"/>
      <c r="AM4" s="186" t="s">
        <v>111</v>
      </c>
    </row>
    <row r="5" spans="1:44" x14ac:dyDescent="0.2">
      <c r="A5" s="3" t="s">
        <v>104</v>
      </c>
      <c r="B5" s="189">
        <v>1</v>
      </c>
      <c r="D5" s="503" t="s">
        <v>333</v>
      </c>
      <c r="E5" s="255"/>
      <c r="F5" s="36" t="s">
        <v>5</v>
      </c>
      <c r="G5" s="5">
        <f>IF(F5="f",Assumptions!$E$39,Assumptions!$E$38)</f>
        <v>89.3</v>
      </c>
      <c r="H5" s="114">
        <v>25501</v>
      </c>
      <c r="I5" s="116">
        <v>35400</v>
      </c>
      <c r="J5" s="22"/>
      <c r="K5" s="22"/>
      <c r="L5" s="91">
        <f>(((H5+(Assumptions!$E$43*365))-I5))/365</f>
        <v>37.87945205479452</v>
      </c>
      <c r="M5" s="240"/>
      <c r="N5" s="125" t="s">
        <v>221</v>
      </c>
      <c r="O5" s="121">
        <f>IF($P5&gt;29.999,(VLOOKUP($N5,Assumptions!$B$24:$J$34,6,FALSE)),(VLOOKUP($N5,Assumptions!$B$24:$J$34,6,FALSE)/30*$P5))</f>
        <v>5700.821917808219</v>
      </c>
      <c r="P5" s="7">
        <f t="shared" ref="P5:P36" si="0">(AG5-I5)/365</f>
        <v>4.7506849315068491</v>
      </c>
      <c r="Q5" s="39">
        <f t="shared" ref="Q5:Q36" si="1">(AG5-H5)/365</f>
        <v>31.87123287671233</v>
      </c>
      <c r="R5" s="23"/>
      <c r="T5" s="81">
        <f>IF(Q5&lt;=Assumptions!$E$43,Assumptions!$E$43-Q5,Assumptions!$E$45)</f>
        <v>33.128767123287673</v>
      </c>
      <c r="U5" s="191">
        <f t="shared" ref="U5:U36" si="2">(AG5-I5)/365</f>
        <v>4.7506849315068491</v>
      </c>
      <c r="V5" s="277">
        <f>((O5*(1-(1+Assumptions!$G$40)^(-1*(G5-Q5))))/Assumptions!$G$40)-((O5*(1-(1+Assumptions!$G$40)^(-1*(T5))))/Assumptions!$G$40)</f>
        <v>3196.7763535891063</v>
      </c>
      <c r="W5" s="277">
        <f>((O5*(1-(1+Assumptions!$G$46)^(-1*(G5-Q5))))/Assumptions!$G$46)-((O5*(1-(1+Assumptions!$G$46)^(-1*(T5))))/Assumptions!$G$46)</f>
        <v>10189.113639463976</v>
      </c>
      <c r="X5" s="121">
        <f>IF($P5&gt;29.999,(VLOOKUP($N5,Assumptions!$B$24:$J$34,7,FALSE)),(VLOOKUP($N5,Assumptions!$B$24:$J$34,7,FALSE)/30*$P5))</f>
        <v>475.0684931506849</v>
      </c>
      <c r="Y5" s="121">
        <f>IF($P5&gt;29.999,(VLOOKUP($N5,Assumptions!$B$24:$J$34,8,FALSE)),(VLOOKUP($N5,Assumptions!$B$24:$J$34,8,FALSE)/30*$P5))</f>
        <v>633.42465753424665</v>
      </c>
      <c r="Z5" s="121">
        <f>IF($P5&gt;29.999,(VLOOKUP($N5,Assumptions!$B$24:$J$34,9,FALSE)),(VLOOKUP($N5,Assumptions!$B$24:$J$34,9,FALSE)/30*$P5))</f>
        <v>475.0684931506849</v>
      </c>
      <c r="AA5" s="148">
        <f>((X5*(1-(1+Assumptions!$H$40)^(-1*(G5-Q5))))/Assumptions!$H$40)-((X5*(1-(1+Assumptions!$H$40)^(-1*(T5))))/Assumptions!$H$40)</f>
        <v>266.39802946575765</v>
      </c>
      <c r="AB5" s="148">
        <f>((Y5*(1-(1+Assumptions!$I$40)^(-1*(G5-Q5))))/Assumptions!$I$40)-((Y5*(1-(1+Assumptions!$I$40)^(-1*(T5))))/Assumptions!$I$40)</f>
        <v>355.1973726210108</v>
      </c>
      <c r="AC5" s="148">
        <f>((Z5*(1-(1+Assumptions!$J$40)^(-1*(G5-Q5))))/Assumptions!$J$40)-((Z5*(1-(1+Assumptions!$J$40)^(-1*(T5))))/Assumptions!$J$40)</f>
        <v>266.39802946575765</v>
      </c>
      <c r="AD5" s="148">
        <f>((X5*(1-(1+Assumptions!$H$46)^(-1*(G5-Q5))))/Assumptions!$H$46)-((X5*(1-(1+Assumptions!$H$46)^(-1*(T5))))/Assumptions!$H$46)</f>
        <v>849.09280328866225</v>
      </c>
      <c r="AE5" s="148">
        <f>((Y5*(1-(1+Assumptions!$I$46)^(-1*(G5-Q5))))/Assumptions!$I$46)-((Y5*(1-(1+Assumptions!$I$46)^(-1*(T5))))/Assumptions!$I$46)</f>
        <v>1132.1237377182188</v>
      </c>
      <c r="AF5" s="148">
        <f>((Z5*(1-(1+Assumptions!$J$46)^(-1*(G5-Q5))))/Assumptions!$J$46)-((Z5*(1-(1+Assumptions!$J$46)^(-1*(T5))))/Assumptions!$J$46)</f>
        <v>849.09280328866225</v>
      </c>
      <c r="AG5" s="145">
        <v>37134</v>
      </c>
      <c r="AH5" s="148">
        <f>((AI5*(1-(1+Assumptions!$M$40)^(-1*(G5-Q5))))/Assumptions!$M$40)-((AI5*(1-(1+Assumptions!$M$40)^(-1*(T5))))/Assumptions!$M$40)</f>
        <v>12800.669163402883</v>
      </c>
      <c r="AI5" s="409">
        <f>IF(P5&gt;29.999,(VLOOKUP(N5,Assumptions!$B$24:$M$34,12,FALSE)),(VLOOKUP(N5,Assumptions!$B$24:$M$34,12,FALSE)/30*P5))</f>
        <v>5700.821917808219</v>
      </c>
      <c r="AJ5" s="148">
        <f>((AI5*(1-(1+Assumptions!$L$40)^(-1*(G5-Q5))))/Assumptions!$L$40)-((AI5*(1-(1+Assumptions!$L$40)^(-1*(T5))))/Assumptions!$L$40)</f>
        <v>3196.7763535891063</v>
      </c>
      <c r="AK5" s="148">
        <f>((AI5*(1-(1+Assumptions!$L$46)^(-1*(G5-Q5))))/Assumptions!$L$46)-((AI5*(1-(1+Assumptions!$L$46)^(-1*(T5))))/Assumptions!$L$46)</f>
        <v>10189.113639463976</v>
      </c>
      <c r="AL5" s="148">
        <f>IF(Q5&gt;Assumptions!$L$3,W5,0)</f>
        <v>0</v>
      </c>
      <c r="AM5" s="3"/>
      <c r="AN5" s="3"/>
      <c r="AO5" s="114"/>
      <c r="AP5" s="116"/>
      <c r="AQ5" s="114"/>
      <c r="AR5" s="116"/>
    </row>
    <row r="6" spans="1:44" x14ac:dyDescent="0.2">
      <c r="A6" s="3" t="s">
        <v>104</v>
      </c>
      <c r="B6" s="189">
        <f>SUM(B5+1)</f>
        <v>2</v>
      </c>
      <c r="D6" s="503" t="s">
        <v>334</v>
      </c>
      <c r="E6" s="255"/>
      <c r="F6" s="36" t="s">
        <v>6</v>
      </c>
      <c r="G6" s="5">
        <f>IF(F6="f",Assumptions!$E$39,Assumptions!$E$38)</f>
        <v>81.8</v>
      </c>
      <c r="H6" s="114">
        <v>16010</v>
      </c>
      <c r="I6" s="116">
        <v>26267</v>
      </c>
      <c r="J6" s="22"/>
      <c r="K6" s="22"/>
      <c r="L6" s="91">
        <f>(((H6+(Assumptions!$E$43*365))-I6))/365</f>
        <v>36.898630136986299</v>
      </c>
      <c r="M6" s="240"/>
      <c r="N6" s="125" t="s">
        <v>225</v>
      </c>
      <c r="O6" s="121">
        <f>IF($P6&gt;29.999,(VLOOKUP($N6,Assumptions!$B$24:$J$34,6,FALSE)),(VLOOKUP($N6,Assumptions!$B$24:$J$34,6,FALSE)/30*$P6))</f>
        <v>35727.123287671231</v>
      </c>
      <c r="P6" s="7">
        <f t="shared" si="0"/>
        <v>29.772602739726029</v>
      </c>
      <c r="Q6" s="39">
        <f t="shared" si="1"/>
        <v>57.873972602739727</v>
      </c>
      <c r="R6" s="23"/>
      <c r="T6" s="81">
        <f>IF(Q6&lt;=Assumptions!$E$43,Assumptions!$E$43-Q6,Assumptions!$E$45)</f>
        <v>7.1260273972602732</v>
      </c>
      <c r="U6" s="191">
        <f t="shared" si="2"/>
        <v>29.772602739726029</v>
      </c>
      <c r="V6" s="277">
        <f>((O6*(1-(1+Assumptions!$G$40)^(-1*(G6-Q6))))/Assumptions!$G$40)-((O6*(1-(1+Assumptions!$G$40)^(-1*(T6))))/Assumptions!$G$40)</f>
        <v>164309.78206440754</v>
      </c>
      <c r="W6" s="277">
        <f>((O6*(1-(1+Assumptions!$G$46)^(-1*(G6-Q6))))/Assumptions!$G$46)-((O6*(1-(1+Assumptions!$G$46)^(-1*(T6))))/Assumptions!$G$46)</f>
        <v>243383.44683336216</v>
      </c>
      <c r="X6" s="121">
        <f>IF($P6&gt;29.999,(VLOOKUP($N6,Assumptions!$B$24:$J$34,7,FALSE)),(VLOOKUP($N6,Assumptions!$B$24:$J$34,7,FALSE)/30*$P6))</f>
        <v>28283.972602739726</v>
      </c>
      <c r="Y6" s="121">
        <f>IF($P6&gt;29.999,(VLOOKUP($N6,Assumptions!$B$24:$J$34,8,FALSE)),(VLOOKUP($N6,Assumptions!$B$24:$J$34,8,FALSE)/30*$P6))</f>
        <v>35727.123287671231</v>
      </c>
      <c r="Z6" s="121">
        <f>IF($P6&gt;29.999,(VLOOKUP($N6,Assumptions!$B$24:$J$34,9,FALSE)),(VLOOKUP($N6,Assumptions!$B$24:$J$34,9,FALSE)/30*$P6))</f>
        <v>27787.762557077629</v>
      </c>
      <c r="AA6" s="148">
        <f>((X6*(1-(1+Assumptions!$H$40)^(-1*(G6-Q6))))/Assumptions!$H$40)-((X6*(1-(1+Assumptions!$H$40)^(-1*(T6))))/Assumptions!$H$40)</f>
        <v>130078.57746765597</v>
      </c>
      <c r="AB6" s="148">
        <f>((Y6*(1-(1+Assumptions!$I$40)^(-1*(G6-Q6))))/Assumptions!$I$40)-((Y6*(1-(1+Assumptions!$I$40)^(-1*(T6))))/Assumptions!$I$40)</f>
        <v>164309.78206440754</v>
      </c>
      <c r="AC6" s="148">
        <f>((Z6*(1-(1+Assumptions!$J$40)^(-1*(G6-Q6))))/Assumptions!$J$40)-((Z6*(1-(1+Assumptions!$J$40)^(-1*(T6))))/Assumptions!$J$40)</f>
        <v>127796.49716120583</v>
      </c>
      <c r="AD6" s="148">
        <f>((X6*(1-(1+Assumptions!$H$46)^(-1*(G6-Q6))))/Assumptions!$H$46)-((X6*(1-(1+Assumptions!$H$46)^(-1*(T6))))/Assumptions!$H$46)</f>
        <v>192678.56207641165</v>
      </c>
      <c r="AE6" s="148">
        <f>((Y6*(1-(1+Assumptions!$I$46)^(-1*(G6-Q6))))/Assumptions!$I$46)-((Y6*(1-(1+Assumptions!$I$46)^(-1*(T6))))/Assumptions!$I$46)</f>
        <v>243383.44683336216</v>
      </c>
      <c r="AF6" s="148">
        <f>((Z6*(1-(1+Assumptions!$J$46)^(-1*(G6-Q6))))/Assumptions!$J$46)-((Z6*(1-(1+Assumptions!$J$46)^(-1*(T6))))/Assumptions!$J$46)</f>
        <v>189298.23642594836</v>
      </c>
      <c r="AG6" s="145">
        <v>37134</v>
      </c>
      <c r="AH6" s="148">
        <f>((AI6*(1-(1+Assumptions!$M$40)^(-1*(G6-Q6))))/Assumptions!$M$40)-((AI6*(1-(1+Assumptions!$M$40)^(-1*(T6))))/Assumptions!$M$40)</f>
        <v>263120.14870359993</v>
      </c>
      <c r="AI6" s="409">
        <f>IF(P6&gt;29.999,(VLOOKUP(N6,Assumptions!$B$24:$M$34,12,FALSE)),(VLOOKUP(N6,Assumptions!$B$24:$M$34,12,FALSE)/30*P6))</f>
        <v>35727.123287671231</v>
      </c>
      <c r="AJ6" s="148">
        <f>((AI6*(1-(1+Assumptions!$L$40)^(-1*(G6-Q6))))/Assumptions!$L$40)-((AI6*(1-(1+Assumptions!$L$40)^(-1*(T6))))/Assumptions!$L$40)</f>
        <v>164309.78206440754</v>
      </c>
      <c r="AK6" s="148">
        <f>((AI6*(1-(1+Assumptions!$L$46)^(-1*(G6-Q6))))/Assumptions!$L$46)-((AI6*(1-(1+Assumptions!$L$46)^(-1*(T6))))/Assumptions!$L$46)</f>
        <v>243383.44683336216</v>
      </c>
      <c r="AL6" s="148">
        <f>IF(Q6&gt;Assumptions!$L$3,W6,0)</f>
        <v>243383.44683336216</v>
      </c>
      <c r="AM6" s="3"/>
      <c r="AN6" s="3"/>
      <c r="AO6" s="114"/>
      <c r="AP6" s="116"/>
      <c r="AQ6" s="114"/>
      <c r="AR6" s="116"/>
    </row>
    <row r="7" spans="1:44" x14ac:dyDescent="0.2">
      <c r="A7" s="3" t="s">
        <v>104</v>
      </c>
      <c r="B7" s="189">
        <f t="shared" ref="B7:B70" si="3">SUM(B6+1)</f>
        <v>3</v>
      </c>
      <c r="D7" s="503" t="s">
        <v>335</v>
      </c>
      <c r="E7" s="255"/>
      <c r="F7" s="36" t="s">
        <v>5</v>
      </c>
      <c r="G7" s="5">
        <f>IF(F7="f",Assumptions!$E$39,Assumptions!$E$38)</f>
        <v>89.3</v>
      </c>
      <c r="H7" s="114">
        <v>25501</v>
      </c>
      <c r="I7" s="116">
        <v>35400</v>
      </c>
      <c r="J7" s="22"/>
      <c r="K7" s="22"/>
      <c r="L7" s="91">
        <f>(((H7+(Assumptions!$E$43*365))-I7))/365</f>
        <v>37.87945205479452</v>
      </c>
      <c r="M7" s="240"/>
      <c r="N7" s="125" t="s">
        <v>221</v>
      </c>
      <c r="O7" s="121">
        <f>IF($P7&gt;29.999,(VLOOKUP($N7,Assumptions!$B$24:$J$34,6,FALSE)),(VLOOKUP($N7,Assumptions!$B$24:$J$34,6,FALSE)/30*$P7))</f>
        <v>5700.821917808219</v>
      </c>
      <c r="P7" s="7">
        <f t="shared" si="0"/>
        <v>4.7506849315068491</v>
      </c>
      <c r="Q7" s="39">
        <f t="shared" si="1"/>
        <v>31.87123287671233</v>
      </c>
      <c r="R7" s="23"/>
      <c r="T7" s="81">
        <f>IF(Q7&lt;=Assumptions!$E$43,Assumptions!$E$43-Q7,Assumptions!$E$45)</f>
        <v>33.128767123287673</v>
      </c>
      <c r="U7" s="191">
        <f t="shared" si="2"/>
        <v>4.7506849315068491</v>
      </c>
      <c r="V7" s="277">
        <f>((O7*(1-(1+Assumptions!$G$40)^(-1*(G7-Q7))))/Assumptions!$G$40)-((O7*(1-(1+Assumptions!$G$40)^(-1*(T7))))/Assumptions!$G$40)</f>
        <v>3196.7763535891063</v>
      </c>
      <c r="W7" s="277">
        <f>((O7*(1-(1+Assumptions!$G$46)^(-1*(G7-Q7))))/Assumptions!$G$46)-((O7*(1-(1+Assumptions!$G$46)^(-1*(T7))))/Assumptions!$G$46)</f>
        <v>10189.113639463976</v>
      </c>
      <c r="X7" s="121">
        <f>IF($P7&gt;29.999,(VLOOKUP($N7,Assumptions!$B$24:$J$34,7,FALSE)),(VLOOKUP($N7,Assumptions!$B$24:$J$34,7,FALSE)/30*$P7))</f>
        <v>475.0684931506849</v>
      </c>
      <c r="Y7" s="121">
        <f>IF($P7&gt;29.999,(VLOOKUP($N7,Assumptions!$B$24:$J$34,8,FALSE)),(VLOOKUP($N7,Assumptions!$B$24:$J$34,8,FALSE)/30*$P7))</f>
        <v>633.42465753424665</v>
      </c>
      <c r="Z7" s="121">
        <f>IF($P7&gt;29.999,(VLOOKUP($N7,Assumptions!$B$24:$J$34,9,FALSE)),(VLOOKUP($N7,Assumptions!$B$24:$J$34,9,FALSE)/30*$P7))</f>
        <v>475.0684931506849</v>
      </c>
      <c r="AA7" s="148">
        <f>((X7*(1-(1+Assumptions!$H$40)^(-1*(G7-Q7))))/Assumptions!$H$40)-((X7*(1-(1+Assumptions!$H$40)^(-1*(T7))))/Assumptions!$H$40)</f>
        <v>266.39802946575765</v>
      </c>
      <c r="AB7" s="148">
        <f>((Y7*(1-(1+Assumptions!$I$40)^(-1*(G7-Q7))))/Assumptions!$I$40)-((Y7*(1-(1+Assumptions!$I$40)^(-1*(T7))))/Assumptions!$I$40)</f>
        <v>355.1973726210108</v>
      </c>
      <c r="AC7" s="148">
        <f>((Z7*(1-(1+Assumptions!$J$40)^(-1*(G7-Q7))))/Assumptions!$J$40)-((Z7*(1-(1+Assumptions!$J$40)^(-1*(T7))))/Assumptions!$J$40)</f>
        <v>266.39802946575765</v>
      </c>
      <c r="AD7" s="148">
        <f>((X7*(1-(1+Assumptions!$H$46)^(-1*(G7-Q7))))/Assumptions!$H$46)-((X7*(1-(1+Assumptions!$H$46)^(-1*(T7))))/Assumptions!$H$46)</f>
        <v>849.09280328866225</v>
      </c>
      <c r="AE7" s="148">
        <f>((Y7*(1-(1+Assumptions!$I$46)^(-1*(G7-Q7))))/Assumptions!$I$46)-((Y7*(1-(1+Assumptions!$I$46)^(-1*(T7))))/Assumptions!$I$46)</f>
        <v>1132.1237377182188</v>
      </c>
      <c r="AF7" s="148">
        <f>((Z7*(1-(1+Assumptions!$J$46)^(-1*(G7-Q7))))/Assumptions!$J$46)-((Z7*(1-(1+Assumptions!$J$46)^(-1*(T7))))/Assumptions!$J$46)</f>
        <v>849.09280328866225</v>
      </c>
      <c r="AG7" s="145">
        <v>37134</v>
      </c>
      <c r="AH7" s="148">
        <f>((AI7*(1-(1+Assumptions!$M$40)^(-1*(G7-Q7))))/Assumptions!$M$40)-((AI7*(1-(1+Assumptions!$M$40)^(-1*(T7))))/Assumptions!$M$40)</f>
        <v>12800.669163402883</v>
      </c>
      <c r="AI7" s="409">
        <f>IF(P7&gt;29.999,(VLOOKUP(N7,Assumptions!$B$24:$M$34,12,FALSE)),(VLOOKUP(N7,Assumptions!$B$24:$M$34,12,FALSE)/30*P7))</f>
        <v>5700.821917808219</v>
      </c>
      <c r="AJ7" s="148">
        <f>((AI7*(1-(1+Assumptions!$L$40)^(-1*(G7-Q7))))/Assumptions!$L$40)-((AI7*(1-(1+Assumptions!$L$40)^(-1*(T7))))/Assumptions!$L$40)</f>
        <v>3196.7763535891063</v>
      </c>
      <c r="AK7" s="148">
        <f>((AI7*(1-(1+Assumptions!$L$46)^(-1*(G7-Q7))))/Assumptions!$L$46)-((AI7*(1-(1+Assumptions!$L$46)^(-1*(T7))))/Assumptions!$L$46)</f>
        <v>10189.113639463976</v>
      </c>
      <c r="AL7" s="148">
        <f>IF(Q7&gt;Assumptions!$L$3,W7,0)</f>
        <v>0</v>
      </c>
      <c r="AM7" s="3"/>
      <c r="AN7" s="3"/>
      <c r="AO7" s="114"/>
      <c r="AP7" s="116"/>
      <c r="AQ7" s="114"/>
      <c r="AR7" s="116"/>
    </row>
    <row r="8" spans="1:44" x14ac:dyDescent="0.2">
      <c r="A8" s="3" t="s">
        <v>104</v>
      </c>
      <c r="B8" s="189">
        <f t="shared" si="3"/>
        <v>4</v>
      </c>
      <c r="D8" s="503" t="s">
        <v>336</v>
      </c>
      <c r="E8" s="255"/>
      <c r="F8" s="36" t="s">
        <v>6</v>
      </c>
      <c r="G8" s="5">
        <f>IF(F8="f",Assumptions!$E$39,Assumptions!$E$38)</f>
        <v>81.8</v>
      </c>
      <c r="H8" s="114">
        <v>16264</v>
      </c>
      <c r="I8" s="116">
        <v>22980</v>
      </c>
      <c r="J8" s="22"/>
      <c r="K8" s="22"/>
      <c r="L8" s="91">
        <f>(((H8+(Assumptions!$E$43*365))-I8))/365</f>
        <v>46.6</v>
      </c>
      <c r="M8" s="240"/>
      <c r="N8" s="125" t="s">
        <v>225</v>
      </c>
      <c r="O8" s="121">
        <f>IF($P8&gt;29.999,(VLOOKUP($N8,Assumptions!$B$24:$J$34,6,FALSE)),(VLOOKUP($N8,Assumptions!$B$24:$J$34,6,FALSE)/30*$P8))</f>
        <v>36000</v>
      </c>
      <c r="P8" s="7">
        <f t="shared" si="0"/>
        <v>38.778082191780825</v>
      </c>
      <c r="Q8" s="39">
        <f t="shared" si="1"/>
        <v>57.178082191780824</v>
      </c>
      <c r="R8" s="23"/>
      <c r="T8" s="81">
        <f>IF(Q8&lt;=Assumptions!$E$43,Assumptions!$E$43-Q8,Assumptions!$E$45)</f>
        <v>7.821917808219176</v>
      </c>
      <c r="U8" s="191">
        <f t="shared" si="2"/>
        <v>38.778082191780825</v>
      </c>
      <c r="V8" s="277">
        <f>((O8*(1-(1+Assumptions!$G$40)^(-1*(G8-Q8))))/Assumptions!$G$40)-((O8*(1-(1+Assumptions!$G$40)^(-1*(T8))))/Assumptions!$G$40)</f>
        <v>155927.64894054618</v>
      </c>
      <c r="W8" s="277">
        <f>((O8*(1-(1+Assumptions!$G$46)^(-1*(G8-Q8))))/Assumptions!$G$46)-((O8*(1-(1+Assumptions!$G$46)^(-1*(T8))))/Assumptions!$G$46)</f>
        <v>235404.28297778088</v>
      </c>
      <c r="X8" s="121">
        <f>IF($P8&gt;29.999,(VLOOKUP($N8,Assumptions!$B$24:$J$34,7,FALSE)),(VLOOKUP($N8,Assumptions!$B$24:$J$34,7,FALSE)/30*$P8))</f>
        <v>28500</v>
      </c>
      <c r="Y8" s="121">
        <f>IF($P8&gt;29.999,(VLOOKUP($N8,Assumptions!$B$24:$J$34,8,FALSE)),(VLOOKUP($N8,Assumptions!$B$24:$J$34,8,FALSE)/30*$P8))</f>
        <v>36000</v>
      </c>
      <c r="Z8" s="121">
        <f>IF($P8&gt;29.999,(VLOOKUP($N8,Assumptions!$B$24:$J$34,9,FALSE)),(VLOOKUP($N8,Assumptions!$B$24:$J$34,9,FALSE)/30*$P8))</f>
        <v>28000</v>
      </c>
      <c r="AA8" s="148">
        <f>((X8*(1-(1+Assumptions!$H$40)^(-1*(G8-Q8))))/Assumptions!$H$40)-((X8*(1-(1+Assumptions!$H$40)^(-1*(T8))))/Assumptions!$H$40)</f>
        <v>123442.72207793238</v>
      </c>
      <c r="AB8" s="148">
        <f>((Y8*(1-(1+Assumptions!$I$40)^(-1*(G8-Q8))))/Assumptions!$I$40)-((Y8*(1-(1+Assumptions!$I$40)^(-1*(T8))))/Assumptions!$I$40)</f>
        <v>155927.64894054618</v>
      </c>
      <c r="AC8" s="148">
        <f>((Z8*(1-(1+Assumptions!$J$40)^(-1*(G8-Q8))))/Assumptions!$J$40)-((Z8*(1-(1+Assumptions!$J$40)^(-1*(T8))))/Assumptions!$J$40)</f>
        <v>121277.06028709147</v>
      </c>
      <c r="AD8" s="148">
        <f>((X8*(1-(1+Assumptions!$H$46)^(-1*(G8-Q8))))/Assumptions!$H$46)-((X8*(1-(1+Assumptions!$H$46)^(-1*(T8))))/Assumptions!$H$46)</f>
        <v>186361.72402407657</v>
      </c>
      <c r="AE8" s="148">
        <f>((Y8*(1-(1+Assumptions!$I$46)^(-1*(G8-Q8))))/Assumptions!$I$46)-((Y8*(1-(1+Assumptions!$I$46)^(-1*(T8))))/Assumptions!$I$46)</f>
        <v>235404.28297778088</v>
      </c>
      <c r="AF8" s="148">
        <f>((Z8*(1-(1+Assumptions!$J$46)^(-1*(G8-Q8))))/Assumptions!$J$46)-((Z8*(1-(1+Assumptions!$J$46)^(-1*(T8))))/Assumptions!$J$46)</f>
        <v>183092.22009382959</v>
      </c>
      <c r="AG8" s="145">
        <v>37134</v>
      </c>
      <c r="AH8" s="148">
        <f>((AI8*(1-(1+Assumptions!$M$40)^(-1*(G8-Q8))))/Assumptions!$M$40)-((AI8*(1-(1+Assumptions!$M$40)^(-1*(T8))))/Assumptions!$M$40)</f>
        <v>255433.22952745706</v>
      </c>
      <c r="AI8" s="409">
        <f>IF(P8&gt;29.999,(VLOOKUP(N8,Assumptions!$B$24:$M$34,12,FALSE)),(VLOOKUP(N8,Assumptions!$B$24:$M$34,12,FALSE)/30*P8))</f>
        <v>36000</v>
      </c>
      <c r="AJ8" s="148">
        <f>((AI8*(1-(1+Assumptions!$L$40)^(-1*(G8-Q8))))/Assumptions!$L$40)-((AI8*(1-(1+Assumptions!$L$40)^(-1*(T8))))/Assumptions!$L$40)</f>
        <v>155927.64894054618</v>
      </c>
      <c r="AK8" s="148">
        <f>((AI8*(1-(1+Assumptions!$L$46)^(-1*(G8-Q8))))/Assumptions!$L$46)-((AI8*(1-(1+Assumptions!$L$46)^(-1*(T8))))/Assumptions!$L$46)</f>
        <v>235404.28297778088</v>
      </c>
      <c r="AL8" s="148">
        <f>IF(Q8&gt;Assumptions!$L$3,W8,0)</f>
        <v>235404.28297778088</v>
      </c>
      <c r="AM8" s="3"/>
      <c r="AN8" s="3"/>
      <c r="AO8" s="114"/>
      <c r="AP8" s="116"/>
      <c r="AQ8" s="114"/>
      <c r="AR8" s="116"/>
    </row>
    <row r="9" spans="1:44" x14ac:dyDescent="0.2">
      <c r="A9" s="3" t="s">
        <v>104</v>
      </c>
      <c r="B9" s="189">
        <f t="shared" si="3"/>
        <v>5</v>
      </c>
      <c r="D9" s="503" t="s">
        <v>337</v>
      </c>
      <c r="E9" s="255"/>
      <c r="F9" s="36" t="s">
        <v>5</v>
      </c>
      <c r="G9" s="5">
        <f>IF(F9="f",Assumptions!$E$39,Assumptions!$E$38)</f>
        <v>89.3</v>
      </c>
      <c r="H9" s="114">
        <v>18693</v>
      </c>
      <c r="I9" s="116">
        <v>26818</v>
      </c>
      <c r="J9" s="22"/>
      <c r="K9" s="22"/>
      <c r="L9" s="91">
        <f>(((H9+(Assumptions!$E$43*365))-I9))/365</f>
        <v>42.739726027397261</v>
      </c>
      <c r="M9" s="240"/>
      <c r="N9" s="125" t="s">
        <v>224</v>
      </c>
      <c r="O9" s="121">
        <f>IF($P9&gt;29.999,(VLOOKUP($N9,Assumptions!$B$24:$J$34,6,FALSE)),(VLOOKUP($N9,Assumptions!$B$24:$J$34,6,FALSE)/30*$P9))</f>
        <v>33915.616438356163</v>
      </c>
      <c r="P9" s="7">
        <f t="shared" si="0"/>
        <v>28.263013698630136</v>
      </c>
      <c r="Q9" s="39">
        <f t="shared" si="1"/>
        <v>50.523287671232879</v>
      </c>
      <c r="R9" s="23"/>
      <c r="T9" s="81">
        <f>IF(Q9&lt;=Assumptions!$E$43,Assumptions!$E$43-Q9,Assumptions!$E$45)</f>
        <v>14.476712328767121</v>
      </c>
      <c r="U9" s="191">
        <f t="shared" si="2"/>
        <v>28.263013698630136</v>
      </c>
      <c r="V9" s="277">
        <f>((O9*(1-(1+Assumptions!$G$40)^(-1*(G9-Q9))))/Assumptions!$G$40)-((O9*(1-(1+Assumptions!$G$40)^(-1*(T9))))/Assumptions!$G$40)</f>
        <v>94897.677725100773</v>
      </c>
      <c r="W9" s="277">
        <f>((O9*(1-(1+Assumptions!$G$46)^(-1*(G9-Q9))))/Assumptions!$G$46)-((O9*(1-(1+Assumptions!$G$46)^(-1*(T9))))/Assumptions!$G$46)</f>
        <v>181630.5568913545</v>
      </c>
      <c r="X9" s="121">
        <f>IF($P9&gt;29.999,(VLOOKUP($N9,Assumptions!$B$24:$J$34,7,FALSE)),(VLOOKUP($N9,Assumptions!$B$24:$J$34,7,FALSE)/30*$P9))</f>
        <v>23552.511415525114</v>
      </c>
      <c r="Y9" s="121">
        <f>IF($P9&gt;29.999,(VLOOKUP($N9,Assumptions!$B$24:$J$34,8,FALSE)),(VLOOKUP($N9,Assumptions!$B$24:$J$34,8,FALSE)/30*$P9))</f>
        <v>30147.214611872147</v>
      </c>
      <c r="Z9" s="121">
        <f>IF($P9&gt;29.999,(VLOOKUP($N9,Assumptions!$B$24:$J$34,9,FALSE)),(VLOOKUP($N9,Assumptions!$B$24:$J$34,9,FALSE)/30*$P9))</f>
        <v>23552.511415525114</v>
      </c>
      <c r="AA9" s="148">
        <f>((X9*(1-(1+Assumptions!$H$40)^(-1*(G9-Q9))))/Assumptions!$H$40)-((X9*(1-(1+Assumptions!$H$40)^(-1*(T9))))/Assumptions!$H$40)</f>
        <v>65901.165086875524</v>
      </c>
      <c r="AB9" s="148">
        <f>((Y9*(1-(1+Assumptions!$I$40)^(-1*(G9-Q9))))/Assumptions!$I$40)-((Y9*(1-(1+Assumptions!$I$40)^(-1*(T9))))/Assumptions!$I$40)</f>
        <v>84353.49131120072</v>
      </c>
      <c r="AC9" s="148">
        <f>((Z9*(1-(1+Assumptions!$J$40)^(-1*(G9-Q9))))/Assumptions!$J$40)-((Z9*(1-(1+Assumptions!$J$40)^(-1*(T9))))/Assumptions!$J$40)</f>
        <v>65901.165086875524</v>
      </c>
      <c r="AD9" s="148">
        <f>((X9*(1-(1+Assumptions!$H$46)^(-1*(G9-Q9))))/Assumptions!$H$46)-((X9*(1-(1+Assumptions!$H$46)^(-1*(T9))))/Assumptions!$H$46)</f>
        <v>126132.33117455171</v>
      </c>
      <c r="AE9" s="148">
        <f>((Y9*(1-(1+Assumptions!$I$46)^(-1*(G9-Q9))))/Assumptions!$I$46)-((Y9*(1-(1+Assumptions!$I$46)^(-1*(T9))))/Assumptions!$I$46)</f>
        <v>161449.38390342629</v>
      </c>
      <c r="AF9" s="148">
        <f>((Z9*(1-(1+Assumptions!$J$46)^(-1*(G9-Q9))))/Assumptions!$J$46)-((Z9*(1-(1+Assumptions!$J$46)^(-1*(T9))))/Assumptions!$J$46)</f>
        <v>126132.33117455171</v>
      </c>
      <c r="AG9" s="145">
        <v>37134</v>
      </c>
      <c r="AH9" s="148">
        <f>((AI9*(1-(1+Assumptions!$M$40)^(-1*(G9-Q9))))/Assumptions!$M$40)-((AI9*(1-(1+Assumptions!$M$40)^(-1*(T9))))/Assumptions!$M$40)</f>
        <v>206728.83860564558</v>
      </c>
      <c r="AI9" s="409">
        <f>IF(P9&gt;29.999,(VLOOKUP(N9,Assumptions!$B$24:$M$34,12,FALSE)),(VLOOKUP(N9,Assumptions!$B$24:$M$34,12,FALSE)/30*P9))</f>
        <v>33915.616438356163</v>
      </c>
      <c r="AJ9" s="148">
        <f>((AI9*(1-(1+Assumptions!$L$40)^(-1*(G9-Q9))))/Assumptions!$L$40)-((AI9*(1-(1+Assumptions!$L$40)^(-1*(T9))))/Assumptions!$L$40)</f>
        <v>94897.677725100773</v>
      </c>
      <c r="AK9" s="148">
        <f>((AI9*(1-(1+Assumptions!$L$46)^(-1*(G9-Q9))))/Assumptions!$L$46)-((AI9*(1-(1+Assumptions!$L$46)^(-1*(T9))))/Assumptions!$L$46)</f>
        <v>181630.5568913545</v>
      </c>
      <c r="AL9" s="148">
        <f>IF(Q9&gt;Assumptions!$L$3,W9,0)</f>
        <v>0</v>
      </c>
      <c r="AM9" s="3"/>
      <c r="AN9" s="3"/>
      <c r="AO9" s="114"/>
      <c r="AP9" s="116"/>
      <c r="AQ9" s="114"/>
      <c r="AR9" s="116"/>
    </row>
    <row r="10" spans="1:44" x14ac:dyDescent="0.2">
      <c r="A10" s="3" t="s">
        <v>104</v>
      </c>
      <c r="B10" s="189">
        <f t="shared" si="3"/>
        <v>6</v>
      </c>
      <c r="D10" s="503" t="s">
        <v>338</v>
      </c>
      <c r="E10" s="255"/>
      <c r="F10" s="36" t="s">
        <v>6</v>
      </c>
      <c r="G10" s="5">
        <f>IF(F10="f",Assumptions!$E$39,Assumptions!$E$38)</f>
        <v>81.8</v>
      </c>
      <c r="H10" s="114">
        <v>23043</v>
      </c>
      <c r="I10" s="116">
        <v>35400</v>
      </c>
      <c r="J10" s="22"/>
      <c r="K10" s="22"/>
      <c r="L10" s="91">
        <f>(((H10+(Assumptions!$E$43*365))-I10))/365</f>
        <v>31.145205479452056</v>
      </c>
      <c r="M10" s="240"/>
      <c r="N10" s="125" t="s">
        <v>222</v>
      </c>
      <c r="O10" s="121">
        <f>IF($P10&gt;29.999,(VLOOKUP($N10,Assumptions!$B$24:$J$34,6,FALSE)),(VLOOKUP($N10,Assumptions!$B$24:$J$34,6,FALSE)/30*$P10))</f>
        <v>5700.821917808219</v>
      </c>
      <c r="P10" s="7">
        <f t="shared" si="0"/>
        <v>4.7506849315068491</v>
      </c>
      <c r="Q10" s="39">
        <f t="shared" si="1"/>
        <v>38.605479452054794</v>
      </c>
      <c r="R10" s="23"/>
      <c r="T10" s="81">
        <f>IF(Q10&lt;=Assumptions!$E$43,Assumptions!$E$43-Q10,Assumptions!$E$45)</f>
        <v>26.394520547945206</v>
      </c>
      <c r="U10" s="191">
        <f t="shared" si="2"/>
        <v>4.7506849315068491</v>
      </c>
      <c r="V10" s="277">
        <f>((O10*(1-(1+Assumptions!$G$40)^(-1*(G10-Q10))))/Assumptions!$G$40)-((O10*(1-(1+Assumptions!$G$40)^(-1*(T10))))/Assumptions!$G$40)</f>
        <v>4982.5380789254486</v>
      </c>
      <c r="W10" s="277">
        <f>((O10*(1-(1+Assumptions!$G$46)^(-1*(G10-Q10))))/Assumptions!$G$46)-((O10*(1-(1+Assumptions!$G$46)^(-1*(T10))))/Assumptions!$G$46)</f>
        <v>12499.400819926872</v>
      </c>
      <c r="X10" s="121">
        <f>IF($P10&gt;29.999,(VLOOKUP($N10,Assumptions!$B$24:$J$34,7,FALSE)),(VLOOKUP($N10,Assumptions!$B$24:$J$34,7,FALSE)/30*$P10))</f>
        <v>1108.4931506849316</v>
      </c>
      <c r="Y10" s="121">
        <f>IF($P10&gt;29.999,(VLOOKUP($N10,Assumptions!$B$24:$J$34,8,FALSE)),(VLOOKUP($N10,Assumptions!$B$24:$J$34,8,FALSE)/30*$P10))</f>
        <v>1266.8493150684933</v>
      </c>
      <c r="Z10" s="121">
        <f>IF($P10&gt;29.999,(VLOOKUP($N10,Assumptions!$B$24:$J$34,9,FALSE)),(VLOOKUP($N10,Assumptions!$B$24:$J$34,9,FALSE)/30*$P10))</f>
        <v>1108.4931506849316</v>
      </c>
      <c r="AA10" s="148">
        <f>((X10*(1-(1+Assumptions!$H$40)^(-1*(G10-Q10))))/Assumptions!$H$40)-((X10*(1-(1+Assumptions!$H$40)^(-1*(T10))))/Assumptions!$H$40)</f>
        <v>968.82684867994794</v>
      </c>
      <c r="AB10" s="148">
        <f>((Y10*(1-(1+Assumptions!$I$40)^(-1*(G10-Q10))))/Assumptions!$I$40)-((Y10*(1-(1+Assumptions!$I$40)^(-1*(T10))))/Assumptions!$I$40)</f>
        <v>1107.2306842056532</v>
      </c>
      <c r="AC10" s="148">
        <f>((Z10*(1-(1+Assumptions!$J$40)^(-1*(G10-Q10))))/Assumptions!$J$40)-((Z10*(1-(1+Assumptions!$J$40)^(-1*(T10))))/Assumptions!$J$40)</f>
        <v>968.82684867994794</v>
      </c>
      <c r="AD10" s="148">
        <f>((X10*(1-(1+Assumptions!$H$46)^(-1*(G10-Q10))))/Assumptions!$H$46)-((X10*(1-(1+Assumptions!$H$46)^(-1*(T10))))/Assumptions!$H$46)</f>
        <v>2430.4390483191128</v>
      </c>
      <c r="AE10" s="148">
        <f>((Y10*(1-(1+Assumptions!$I$46)^(-1*(G10-Q10))))/Assumptions!$I$46)-((Y10*(1-(1+Assumptions!$I$46)^(-1*(T10))))/Assumptions!$I$46)</f>
        <v>2777.6446266504136</v>
      </c>
      <c r="AF10" s="148">
        <f>((Z10*(1-(1+Assumptions!$J$46)^(-1*(G10-Q10))))/Assumptions!$J$46)-((Z10*(1-(1+Assumptions!$J$46)^(-1*(T10))))/Assumptions!$J$46)</f>
        <v>2430.4390483191128</v>
      </c>
      <c r="AG10" s="145">
        <v>37134</v>
      </c>
      <c r="AH10" s="148">
        <f>((AI10*(1-(1+Assumptions!$M$40)^(-1*(G10-Q10))))/Assumptions!$M$40)-((AI10*(1-(1+Assumptions!$M$40)^(-1*(T10))))/Assumptions!$M$40)</f>
        <v>14964.205816155867</v>
      </c>
      <c r="AI10" s="409">
        <f>IF(P10&gt;29.999,(VLOOKUP(N10,Assumptions!$B$24:$M$34,12,FALSE)),(VLOOKUP(N10,Assumptions!$B$24:$M$34,12,FALSE)/30*P10))</f>
        <v>5700.821917808219</v>
      </c>
      <c r="AJ10" s="148">
        <f>((AI10*(1-(1+Assumptions!$L$40)^(-1*(G10-Q10))))/Assumptions!$L$40)-((AI10*(1-(1+Assumptions!$L$40)^(-1*(T10))))/Assumptions!$L$40)</f>
        <v>4982.5380789254486</v>
      </c>
      <c r="AK10" s="148">
        <f>((AI10*(1-(1+Assumptions!$L$46)^(-1*(G10-Q10))))/Assumptions!$L$46)-((AI10*(1-(1+Assumptions!$L$46)^(-1*(T10))))/Assumptions!$L$46)</f>
        <v>12499.400819926872</v>
      </c>
      <c r="AL10" s="148">
        <f>IF(Q10&gt;Assumptions!$L$3,W10,0)</f>
        <v>0</v>
      </c>
      <c r="AM10" s="3"/>
      <c r="AN10" s="3"/>
      <c r="AO10" s="114"/>
      <c r="AP10" s="116"/>
      <c r="AQ10" s="114"/>
      <c r="AR10" s="116"/>
    </row>
    <row r="11" spans="1:44" x14ac:dyDescent="0.2">
      <c r="A11" s="3" t="s">
        <v>104</v>
      </c>
      <c r="B11" s="189">
        <f t="shared" si="3"/>
        <v>7</v>
      </c>
      <c r="D11" s="503" t="s">
        <v>339</v>
      </c>
      <c r="E11" s="255"/>
      <c r="F11" s="36" t="s">
        <v>6</v>
      </c>
      <c r="G11" s="5">
        <f>IF(F11="f",Assumptions!$E$39,Assumptions!$E$38)</f>
        <v>81.8</v>
      </c>
      <c r="H11" s="114">
        <v>18627</v>
      </c>
      <c r="I11" s="116">
        <v>28463</v>
      </c>
      <c r="J11" s="22"/>
      <c r="K11" s="22"/>
      <c r="L11" s="91">
        <f>(((H11+(Assumptions!$E$43*365))-I11))/365</f>
        <v>38.052054794520551</v>
      </c>
      <c r="M11" s="240"/>
      <c r="N11" s="125" t="s">
        <v>224</v>
      </c>
      <c r="O11" s="121">
        <f>IF($P11&gt;29.999,(VLOOKUP($N11,Assumptions!$B$24:$J$34,6,FALSE)),(VLOOKUP($N11,Assumptions!$B$24:$J$34,6,FALSE)/30*$P11))</f>
        <v>28507.39726027397</v>
      </c>
      <c r="P11" s="7">
        <f t="shared" si="0"/>
        <v>23.756164383561643</v>
      </c>
      <c r="Q11" s="39">
        <f t="shared" si="1"/>
        <v>50.704109589041096</v>
      </c>
      <c r="R11" s="23"/>
      <c r="T11" s="81">
        <f>IF(Q11&lt;=Assumptions!$E$43,Assumptions!$E$43-Q11,Assumptions!$E$45)</f>
        <v>14.295890410958904</v>
      </c>
      <c r="U11" s="191">
        <f t="shared" si="2"/>
        <v>23.756164383561643</v>
      </c>
      <c r="V11" s="277">
        <f>((O11*(1-(1+Assumptions!$G$40)^(-1*(G11-Q11))))/Assumptions!$G$40)-((O11*(1-(1+Assumptions!$G$40)^(-1*(T11))))/Assumptions!$G$40)</f>
        <v>70677.320365101681</v>
      </c>
      <c r="W11" s="277">
        <f>((O11*(1-(1+Assumptions!$G$46)^(-1*(G11-Q11))))/Assumptions!$G$46)-((O11*(1-(1+Assumptions!$G$46)^(-1*(T11))))/Assumptions!$G$46)</f>
        <v>127364.6543696447</v>
      </c>
      <c r="X11" s="121">
        <f>IF($P11&gt;29.999,(VLOOKUP($N11,Assumptions!$B$24:$J$34,7,FALSE)),(VLOOKUP($N11,Assumptions!$B$24:$J$34,7,FALSE)/30*$P11))</f>
        <v>19796.803652968036</v>
      </c>
      <c r="Y11" s="121">
        <f>IF($P11&gt;29.999,(VLOOKUP($N11,Assumptions!$B$24:$J$34,8,FALSE)),(VLOOKUP($N11,Assumptions!$B$24:$J$34,8,FALSE)/30*$P11))</f>
        <v>25339.908675799088</v>
      </c>
      <c r="Z11" s="121">
        <f>IF($P11&gt;29.999,(VLOOKUP($N11,Assumptions!$B$24:$J$34,9,FALSE)),(VLOOKUP($N11,Assumptions!$B$24:$J$34,9,FALSE)/30*$P11))</f>
        <v>19796.803652968036</v>
      </c>
      <c r="AA11" s="148">
        <f>((X11*(1-(1+Assumptions!$H$40)^(-1*(G11-Q11))))/Assumptions!$H$40)-((X11*(1-(1+Assumptions!$H$40)^(-1*(T11))))/Assumptions!$H$40)</f>
        <v>49081.472475765011</v>
      </c>
      <c r="AB11" s="148">
        <f>((Y11*(1-(1+Assumptions!$I$40)^(-1*(G11-Q11))))/Assumptions!$I$40)-((Y11*(1-(1+Assumptions!$I$40)^(-1*(T11))))/Assumptions!$I$40)</f>
        <v>62824.28476897924</v>
      </c>
      <c r="AC11" s="148">
        <f>((Z11*(1-(1+Assumptions!$J$40)^(-1*(G11-Q11))))/Assumptions!$J$40)-((Z11*(1-(1+Assumptions!$J$40)^(-1*(T11))))/Assumptions!$J$40)</f>
        <v>49081.472475765011</v>
      </c>
      <c r="AD11" s="148">
        <f>((X11*(1-(1+Assumptions!$H$46)^(-1*(G11-Q11))))/Assumptions!$H$46)-((X11*(1-(1+Assumptions!$H$46)^(-1*(T11))))/Assumptions!$H$46)</f>
        <v>88447.676645586645</v>
      </c>
      <c r="AE11" s="148">
        <f>((Y11*(1-(1+Assumptions!$I$46)^(-1*(G11-Q11))))/Assumptions!$I$46)-((Y11*(1-(1+Assumptions!$I$46)^(-1*(T11))))/Assumptions!$I$46)</f>
        <v>113213.02610635088</v>
      </c>
      <c r="AF11" s="148">
        <f>((Z11*(1-(1+Assumptions!$J$46)^(-1*(G11-Q11))))/Assumptions!$J$46)-((Z11*(1-(1+Assumptions!$J$46)^(-1*(T11))))/Assumptions!$J$46)</f>
        <v>88447.676645586645</v>
      </c>
      <c r="AG11" s="145">
        <v>37134</v>
      </c>
      <c r="AH11" s="148">
        <f>((AI11*(1-(1+Assumptions!$M$40)^(-1*(G11-Q11))))/Assumptions!$M$40)-((AI11*(1-(1+Assumptions!$M$40)^(-1*(T11))))/Assumptions!$M$40)</f>
        <v>143019.96742110944</v>
      </c>
      <c r="AI11" s="409">
        <f>IF(P11&gt;29.999,(VLOOKUP(N11,Assumptions!$B$24:$M$34,12,FALSE)),(VLOOKUP(N11,Assumptions!$B$24:$M$34,12,FALSE)/30*P11))</f>
        <v>28507.39726027397</v>
      </c>
      <c r="AJ11" s="148">
        <f>((AI11*(1-(1+Assumptions!$L$40)^(-1*(G11-Q11))))/Assumptions!$L$40)-((AI11*(1-(1+Assumptions!$L$40)^(-1*(T11))))/Assumptions!$L$40)</f>
        <v>70677.320365101681</v>
      </c>
      <c r="AK11" s="148">
        <f>((AI11*(1-(1+Assumptions!$L$46)^(-1*(G11-Q11))))/Assumptions!$L$46)-((AI11*(1-(1+Assumptions!$L$46)^(-1*(T11))))/Assumptions!$L$46)</f>
        <v>127364.6543696447</v>
      </c>
      <c r="AL11" s="148">
        <f>IF(Q11&gt;Assumptions!$L$3,W11,0)</f>
        <v>0</v>
      </c>
      <c r="AM11" s="3"/>
      <c r="AN11" s="3"/>
      <c r="AO11" s="114"/>
      <c r="AP11" s="116"/>
      <c r="AQ11" s="114"/>
      <c r="AR11" s="116"/>
    </row>
    <row r="12" spans="1:44" x14ac:dyDescent="0.2">
      <c r="A12" s="3" t="s">
        <v>104</v>
      </c>
      <c r="B12" s="189">
        <f t="shared" si="3"/>
        <v>8</v>
      </c>
      <c r="D12" s="503" t="s">
        <v>340</v>
      </c>
      <c r="E12" s="255"/>
      <c r="F12" s="36" t="s">
        <v>5</v>
      </c>
      <c r="G12" s="5">
        <f>IF(F12="f",Assumptions!$E$39,Assumptions!$E$38)</f>
        <v>89.3</v>
      </c>
      <c r="H12" s="114">
        <v>21603</v>
      </c>
      <c r="I12" s="116">
        <v>34308</v>
      </c>
      <c r="J12" s="22"/>
      <c r="K12" s="22"/>
      <c r="L12" s="91">
        <f>(((H12+(Assumptions!$E$43*365))-I12))/365</f>
        <v>30.19178082191781</v>
      </c>
      <c r="M12" s="240"/>
      <c r="N12" s="125" t="s">
        <v>211</v>
      </c>
      <c r="O12" s="121">
        <f>IF($P12&gt;29.999,(VLOOKUP($N12,Assumptions!$B$24:$J$34,6,FALSE)),(VLOOKUP($N12,Assumptions!$B$24:$J$34,6,FALSE)/30*$P12))</f>
        <v>9290.9589041095896</v>
      </c>
      <c r="P12" s="7">
        <f t="shared" si="0"/>
        <v>7.7424657534246579</v>
      </c>
      <c r="Q12" s="39">
        <f t="shared" si="1"/>
        <v>42.550684931506851</v>
      </c>
      <c r="R12" s="23"/>
      <c r="T12" s="81">
        <f>IF(Q12&lt;=Assumptions!$E$43,Assumptions!$E$43-Q12,Assumptions!$E$45)</f>
        <v>22.449315068493149</v>
      </c>
      <c r="U12" s="191">
        <f t="shared" si="2"/>
        <v>7.7424657534246579</v>
      </c>
      <c r="V12" s="277">
        <f>((O12*(1-(1+Assumptions!$G$40)^(-1*(G12-Q12))))/Assumptions!$G$40)-((O12*(1-(1+Assumptions!$G$40)^(-1*(T12))))/Assumptions!$G$40)</f>
        <v>13077.652973443808</v>
      </c>
      <c r="W12" s="277">
        <f>((O12*(1-(1+Assumptions!$G$46)^(-1*(G12-Q12))))/Assumptions!$G$46)-((O12*(1-(1+Assumptions!$G$46)^(-1*(T12))))/Assumptions!$G$46)</f>
        <v>31126.966678488272</v>
      </c>
      <c r="X12" s="121">
        <f>IF($P12&gt;29.999,(VLOOKUP($N12,Assumptions!$B$24:$J$34,7,FALSE)),(VLOOKUP($N12,Assumptions!$B$24:$J$34,7,FALSE)/30*$P12))</f>
        <v>2580.821917808219</v>
      </c>
      <c r="Y12" s="121">
        <f>IF($P12&gt;29.999,(VLOOKUP($N12,Assumptions!$B$24:$J$34,8,FALSE)),(VLOOKUP($N12,Assumptions!$B$24:$J$34,8,FALSE)/30*$P12))</f>
        <v>3096.9863013698632</v>
      </c>
      <c r="Z12" s="121">
        <f>IF($P12&gt;29.999,(VLOOKUP($N12,Assumptions!$B$24:$J$34,9,FALSE)),(VLOOKUP($N12,Assumptions!$B$24:$J$34,9,FALSE)/30*$P12))</f>
        <v>2580.821917808219</v>
      </c>
      <c r="AA12" s="148">
        <f>((X12*(1-(1+Assumptions!$H$40)^(-1*(G12-Q12))))/Assumptions!$H$40)-((X12*(1-(1+Assumptions!$H$40)^(-1*(T12))))/Assumptions!$H$40)</f>
        <v>3632.6813815121677</v>
      </c>
      <c r="AB12" s="148">
        <f>((Y12*(1-(1+Assumptions!$I$40)^(-1*(G12-Q12))))/Assumptions!$I$40)-((Y12*(1-(1+Assumptions!$I$40)^(-1*(T12))))/Assumptions!$I$40)</f>
        <v>4359.2176578146064</v>
      </c>
      <c r="AC12" s="148">
        <f>((Z12*(1-(1+Assumptions!$J$40)^(-1*(G12-Q12))))/Assumptions!$J$40)-((Z12*(1-(1+Assumptions!$J$40)^(-1*(T12))))/Assumptions!$J$40)</f>
        <v>3632.6813815121677</v>
      </c>
      <c r="AD12" s="148">
        <f>((X12*(1-(1+Assumptions!$H$46)^(-1*(G12-Q12))))/Assumptions!$H$46)-((X12*(1-(1+Assumptions!$H$46)^(-1*(T12))))/Assumptions!$H$46)</f>
        <v>8646.3796329134093</v>
      </c>
      <c r="AE12" s="148">
        <f>((Y12*(1-(1+Assumptions!$I$46)^(-1*(G12-Q12))))/Assumptions!$I$46)-((Y12*(1-(1+Assumptions!$I$46)^(-1*(T12))))/Assumptions!$I$46)</f>
        <v>10375.655559496096</v>
      </c>
      <c r="AF12" s="148">
        <f>((Z12*(1-(1+Assumptions!$J$46)^(-1*(G12-Q12))))/Assumptions!$J$46)-((Z12*(1-(1+Assumptions!$J$46)^(-1*(T12))))/Assumptions!$J$46)</f>
        <v>8646.3796329134093</v>
      </c>
      <c r="AG12" s="145">
        <v>37134</v>
      </c>
      <c r="AH12" s="148">
        <f>((AI12*(1-(1+Assumptions!$M$40)^(-1*(G12-Q12))))/Assumptions!$M$40)-((AI12*(1-(1+Assumptions!$M$40)^(-1*(T12))))/Assumptions!$M$40)</f>
        <v>36955.515562871966</v>
      </c>
      <c r="AI12" s="409">
        <f>IF(P12&gt;29.999,(VLOOKUP(N12,Assumptions!$B$24:$M$34,12,FALSE)),(VLOOKUP(N12,Assumptions!$B$24:$M$34,12,FALSE)/30*P12))</f>
        <v>9290.9589041095896</v>
      </c>
      <c r="AJ12" s="148">
        <f>((AI12*(1-(1+Assumptions!$L$40)^(-1*(G12-Q12))))/Assumptions!$L$40)-((AI12*(1-(1+Assumptions!$L$40)^(-1*(T12))))/Assumptions!$L$40)</f>
        <v>13077.652973443808</v>
      </c>
      <c r="AK12" s="148">
        <f>((AI12*(1-(1+Assumptions!$L$46)^(-1*(G12-Q12))))/Assumptions!$L$46)-((AI12*(1-(1+Assumptions!$L$46)^(-1*(T12))))/Assumptions!$L$46)</f>
        <v>31126.966678488272</v>
      </c>
      <c r="AL12" s="148">
        <f>IF(Q12&gt;Assumptions!$L$3,W12,0)</f>
        <v>0</v>
      </c>
      <c r="AM12" s="3"/>
      <c r="AN12" s="3"/>
      <c r="AO12" s="114"/>
      <c r="AP12" s="116"/>
      <c r="AQ12" s="114"/>
      <c r="AR12" s="116"/>
    </row>
    <row r="13" spans="1:44" x14ac:dyDescent="0.2">
      <c r="A13" s="3" t="s">
        <v>104</v>
      </c>
      <c r="B13" s="189">
        <f t="shared" si="3"/>
        <v>9</v>
      </c>
      <c r="D13" s="503" t="s">
        <v>341</v>
      </c>
      <c r="E13" s="255"/>
      <c r="F13" s="36" t="s">
        <v>6</v>
      </c>
      <c r="G13" s="5">
        <f>IF(F13="f",Assumptions!$E$39,Assumptions!$E$38)</f>
        <v>81.8</v>
      </c>
      <c r="H13" s="114">
        <v>15128</v>
      </c>
      <c r="I13" s="116">
        <v>24806</v>
      </c>
      <c r="J13" s="22"/>
      <c r="K13" s="22"/>
      <c r="L13" s="91">
        <f>(((H13+(Assumptions!$E$43*365))-I13))/365</f>
        <v>38.484931506849314</v>
      </c>
      <c r="M13" s="240"/>
      <c r="N13" s="125" t="s">
        <v>226</v>
      </c>
      <c r="O13" s="121">
        <f>IF($P13&gt;29.999,(VLOOKUP($N13,Assumptions!$B$24:$J$34,6,FALSE)),(VLOOKUP($N13,Assumptions!$B$24:$J$34,6,FALSE)/30*$P13))</f>
        <v>36000</v>
      </c>
      <c r="P13" s="7">
        <f t="shared" si="0"/>
        <v>33.775342465753425</v>
      </c>
      <c r="Q13" s="39">
        <f t="shared" si="1"/>
        <v>60.290410958904111</v>
      </c>
      <c r="R13" s="23"/>
      <c r="T13" s="81">
        <f>IF(Q13&lt;=Assumptions!$E$43,Assumptions!$E$43-Q13,Assumptions!$E$45)</f>
        <v>4.7095890410958887</v>
      </c>
      <c r="U13" s="191">
        <f t="shared" si="2"/>
        <v>33.775342465753425</v>
      </c>
      <c r="V13" s="277">
        <f>((O13*(1-(1+Assumptions!$G$40)^(-1*(G13-Q13))))/Assumptions!$G$40)-((O13*(1-(1+Assumptions!$G$40)^(-1*(T13))))/Assumptions!$G$40)</f>
        <v>203895.05677736251</v>
      </c>
      <c r="W13" s="277">
        <f>((O13*(1-(1+Assumptions!$G$46)^(-1*(G13-Q13))))/Assumptions!$G$46)-((O13*(1-(1+Assumptions!$G$46)^(-1*(T13))))/Assumptions!$G$46)</f>
        <v>282708.8544541446</v>
      </c>
      <c r="X13" s="121">
        <f>IF($P13&gt;29.999,(VLOOKUP($N13,Assumptions!$B$24:$J$34,7,FALSE)),(VLOOKUP($N13,Assumptions!$B$24:$J$34,7,FALSE)/30*$P13))</f>
        <v>28500</v>
      </c>
      <c r="Y13" s="121">
        <f>IF($P13&gt;29.999,(VLOOKUP($N13,Assumptions!$B$24:$J$34,8,FALSE)),(VLOOKUP($N13,Assumptions!$B$24:$J$34,8,FALSE)/30*$P13))</f>
        <v>36000</v>
      </c>
      <c r="Z13" s="121">
        <f>IF($P13&gt;29.999,(VLOOKUP($N13,Assumptions!$B$24:$J$34,9,FALSE)),(VLOOKUP($N13,Assumptions!$B$24:$J$34,9,FALSE)/30*$P13))</f>
        <v>32000</v>
      </c>
      <c r="AA13" s="148">
        <f>((X13*(1-(1+Assumptions!$H$40)^(-1*(G13-Q13))))/Assumptions!$H$40)-((X13*(1-(1+Assumptions!$H$40)^(-1*(T13))))/Assumptions!$H$40)</f>
        <v>161416.91994874534</v>
      </c>
      <c r="AB13" s="148">
        <f>((Y13*(1-(1+Assumptions!$I$40)^(-1*(G13-Q13))))/Assumptions!$I$40)-((Y13*(1-(1+Assumptions!$I$40)^(-1*(T13))))/Assumptions!$I$40)</f>
        <v>203895.05677736251</v>
      </c>
      <c r="AC13" s="148">
        <f>((Z13*(1-(1+Assumptions!$J$40)^(-1*(G13-Q13))))/Assumptions!$J$40)-((Z13*(1-(1+Assumptions!$J$40)^(-1*(T13))))/Assumptions!$J$40)</f>
        <v>181240.05046876663</v>
      </c>
      <c r="AD13" s="148">
        <f>((X13*(1-(1+Assumptions!$H$46)^(-1*(G13-Q13))))/Assumptions!$H$46)-((X13*(1-(1+Assumptions!$H$46)^(-1*(T13))))/Assumptions!$H$46)</f>
        <v>223811.17644286458</v>
      </c>
      <c r="AE13" s="148">
        <f>((Y13*(1-(1+Assumptions!$I$46)^(-1*(G13-Q13))))/Assumptions!$I$46)-((Y13*(1-(1+Assumptions!$I$46)^(-1*(T13))))/Assumptions!$I$46)</f>
        <v>282708.8544541446</v>
      </c>
      <c r="AF13" s="148">
        <f>((Z13*(1-(1+Assumptions!$J$46)^(-1*(G13-Q13))))/Assumptions!$J$46)-((Z13*(1-(1+Assumptions!$J$46)^(-1*(T13))))/Assumptions!$J$46)</f>
        <v>251296.75951479524</v>
      </c>
      <c r="AG13" s="145">
        <v>37134</v>
      </c>
      <c r="AH13" s="148">
        <f>((AI13*(1-(1+Assumptions!$M$40)^(-1*(G13-Q13))))/Assumptions!$M$40)-((AI13*(1-(1+Assumptions!$M$40)^(-1*(T13))))/Assumptions!$M$40)</f>
        <v>301749.5932603468</v>
      </c>
      <c r="AI13" s="409">
        <f>IF(P13&gt;29.999,(VLOOKUP(N13,Assumptions!$B$24:$M$34,12,FALSE)),(VLOOKUP(N13,Assumptions!$B$24:$M$34,12,FALSE)/30*P13))</f>
        <v>36000</v>
      </c>
      <c r="AJ13" s="148">
        <f>((AI13*(1-(1+Assumptions!$L$40)^(-1*(G13-Q13))))/Assumptions!$L$40)-((AI13*(1-(1+Assumptions!$L$40)^(-1*(T13))))/Assumptions!$L$40)</f>
        <v>203895.05677736251</v>
      </c>
      <c r="AK13" s="148">
        <f>((AI13*(1-(1+Assumptions!$L$46)^(-1*(G13-Q13))))/Assumptions!$L$46)-((AI13*(1-(1+Assumptions!$L$46)^(-1*(T13))))/Assumptions!$L$46)</f>
        <v>282708.8544541446</v>
      </c>
      <c r="AL13" s="148">
        <f>IF(Q13&gt;Assumptions!$L$3,W13,0)</f>
        <v>282708.8544541446</v>
      </c>
      <c r="AM13" s="3"/>
      <c r="AN13" s="3"/>
      <c r="AO13" s="114"/>
      <c r="AP13" s="116"/>
      <c r="AQ13" s="114"/>
      <c r="AR13" s="116"/>
    </row>
    <row r="14" spans="1:44" x14ac:dyDescent="0.2">
      <c r="A14" s="3" t="s">
        <v>104</v>
      </c>
      <c r="B14" s="189">
        <f t="shared" si="3"/>
        <v>10</v>
      </c>
      <c r="D14" s="503" t="s">
        <v>342</v>
      </c>
      <c r="E14" s="255"/>
      <c r="F14" s="36" t="s">
        <v>5</v>
      </c>
      <c r="G14" s="5">
        <f>IF(F14="f",Assumptions!$E$39,Assumptions!$E$38)</f>
        <v>89.3</v>
      </c>
      <c r="H14" s="114">
        <v>25715</v>
      </c>
      <c r="I14" s="116">
        <v>34672</v>
      </c>
      <c r="J14" s="22"/>
      <c r="K14" s="22"/>
      <c r="L14" s="91">
        <f>(((H14+(Assumptions!$E$43*365))-I14))/365</f>
        <v>40.460273972602742</v>
      </c>
      <c r="M14" s="240"/>
      <c r="N14" s="125" t="s">
        <v>221</v>
      </c>
      <c r="O14" s="121">
        <f>IF($P14&gt;29.999,(VLOOKUP($N14,Assumptions!$B$24:$J$34,6,FALSE)),(VLOOKUP($N14,Assumptions!$B$24:$J$34,6,FALSE)/30*$P14))</f>
        <v>8094.2465753424649</v>
      </c>
      <c r="P14" s="7">
        <f t="shared" si="0"/>
        <v>6.7452054794520544</v>
      </c>
      <c r="Q14" s="39">
        <f t="shared" si="1"/>
        <v>31.284931506849315</v>
      </c>
      <c r="R14" s="23"/>
      <c r="T14" s="81">
        <f>IF(Q14&lt;=Assumptions!$E$43,Assumptions!$E$43-Q14,Assumptions!$E$45)</f>
        <v>33.715068493150682</v>
      </c>
      <c r="U14" s="191">
        <f t="shared" si="2"/>
        <v>6.7452054794520544</v>
      </c>
      <c r="V14" s="277">
        <f>((O14*(1-(1+Assumptions!$G$40)^(-1*(G14-Q14))))/Assumptions!$G$40)-((O14*(1-(1+Assumptions!$G$40)^(-1*(T14))))/Assumptions!$G$40)</f>
        <v>4315.2702830427734</v>
      </c>
      <c r="W14" s="277">
        <f>((O14*(1-(1+Assumptions!$G$46)^(-1*(G14-Q14))))/Assumptions!$G$46)-((O14*(1-(1+Assumptions!$G$46)^(-1*(T14))))/Assumptions!$G$46)</f>
        <v>13976.37066506916</v>
      </c>
      <c r="X14" s="121">
        <f>IF($P14&gt;29.999,(VLOOKUP($N14,Assumptions!$B$24:$J$34,7,FALSE)),(VLOOKUP($N14,Assumptions!$B$24:$J$34,7,FALSE)/30*$P14))</f>
        <v>674.52054794520541</v>
      </c>
      <c r="Y14" s="121">
        <f>IF($P14&gt;29.999,(VLOOKUP($N14,Assumptions!$B$24:$J$34,8,FALSE)),(VLOOKUP($N14,Assumptions!$B$24:$J$34,8,FALSE)/30*$P14))</f>
        <v>899.36073059360729</v>
      </c>
      <c r="Z14" s="121">
        <f>IF($P14&gt;29.999,(VLOOKUP($N14,Assumptions!$B$24:$J$34,9,FALSE)),(VLOOKUP($N14,Assumptions!$B$24:$J$34,9,FALSE)/30*$P14))</f>
        <v>674.52054794520541</v>
      </c>
      <c r="AA14" s="148">
        <f>((X14*(1-(1+Assumptions!$H$40)^(-1*(G14-Q14))))/Assumptions!$H$40)-((X14*(1-(1+Assumptions!$H$40)^(-1*(T14))))/Assumptions!$H$40)</f>
        <v>359.60585692023051</v>
      </c>
      <c r="AB14" s="148">
        <f>((Y14*(1-(1+Assumptions!$I$40)^(-1*(G14-Q14))))/Assumptions!$I$40)-((Y14*(1-(1+Assumptions!$I$40)^(-1*(T14))))/Assumptions!$I$40)</f>
        <v>479.47447589364128</v>
      </c>
      <c r="AC14" s="148">
        <f>((Z14*(1-(1+Assumptions!$J$40)^(-1*(G14-Q14))))/Assumptions!$J$40)-((Z14*(1-(1+Assumptions!$J$40)^(-1*(T14))))/Assumptions!$J$40)</f>
        <v>359.60585692023051</v>
      </c>
      <c r="AD14" s="148">
        <f>((X14*(1-(1+Assumptions!$H$46)^(-1*(G14-Q14))))/Assumptions!$H$46)-((X14*(1-(1+Assumptions!$H$46)^(-1*(T14))))/Assumptions!$H$46)</f>
        <v>1164.6975554224282</v>
      </c>
      <c r="AE14" s="148">
        <f>((Y14*(1-(1+Assumptions!$I$46)^(-1*(G14-Q14))))/Assumptions!$I$46)-((Y14*(1-(1+Assumptions!$I$46)^(-1*(T14))))/Assumptions!$I$46)</f>
        <v>1552.9300738965721</v>
      </c>
      <c r="AF14" s="148">
        <f>((Z14*(1-(1+Assumptions!$J$46)^(-1*(G14-Q14))))/Assumptions!$J$46)-((Z14*(1-(1+Assumptions!$J$46)^(-1*(T14))))/Assumptions!$J$46)</f>
        <v>1164.6975554224282</v>
      </c>
      <c r="AG14" s="145">
        <v>37134</v>
      </c>
      <c r="AH14" s="148">
        <f>((AI14*(1-(1+Assumptions!$M$40)^(-1*(G14-Q14))))/Assumptions!$M$40)-((AI14*(1-(1+Assumptions!$M$40)^(-1*(T14))))/Assumptions!$M$40)</f>
        <v>17613.216757660775</v>
      </c>
      <c r="AI14" s="409">
        <f>IF(P14&gt;29.999,(VLOOKUP(N14,Assumptions!$B$24:$M$34,12,FALSE)),(VLOOKUP(N14,Assumptions!$B$24:$M$34,12,FALSE)/30*P14))</f>
        <v>8094.2465753424649</v>
      </c>
      <c r="AJ14" s="148">
        <f>((AI14*(1-(1+Assumptions!$L$40)^(-1*(G14-Q14))))/Assumptions!$L$40)-((AI14*(1-(1+Assumptions!$L$40)^(-1*(T14))))/Assumptions!$L$40)</f>
        <v>4315.2702830427734</v>
      </c>
      <c r="AK14" s="148">
        <f>((AI14*(1-(1+Assumptions!$L$46)^(-1*(G14-Q14))))/Assumptions!$L$46)-((AI14*(1-(1+Assumptions!$L$46)^(-1*(T14))))/Assumptions!$L$46)</f>
        <v>13976.37066506916</v>
      </c>
      <c r="AL14" s="148">
        <f>IF(Q14&gt;Assumptions!$L$3,W14,0)</f>
        <v>0</v>
      </c>
      <c r="AM14" s="3"/>
      <c r="AN14" s="3"/>
      <c r="AO14" s="114"/>
      <c r="AP14" s="116"/>
      <c r="AQ14" s="114"/>
      <c r="AR14" s="116"/>
    </row>
    <row r="15" spans="1:44" x14ac:dyDescent="0.2">
      <c r="A15" s="3" t="s">
        <v>104</v>
      </c>
      <c r="B15" s="189">
        <f t="shared" si="3"/>
        <v>11</v>
      </c>
      <c r="D15" s="503" t="s">
        <v>343</v>
      </c>
      <c r="E15" s="255"/>
      <c r="F15" s="36" t="s">
        <v>6</v>
      </c>
      <c r="G15" s="5">
        <f>IF(F15="f",Assumptions!$E$39,Assumptions!$E$38)</f>
        <v>81.8</v>
      </c>
      <c r="H15" s="114">
        <v>15942</v>
      </c>
      <c r="I15" s="116">
        <v>25172</v>
      </c>
      <c r="J15" s="22"/>
      <c r="K15" s="22"/>
      <c r="L15" s="91">
        <f>(((H15+(Assumptions!$E$43*365))-I15))/365</f>
        <v>39.712328767123289</v>
      </c>
      <c r="M15" s="240"/>
      <c r="N15" s="125" t="s">
        <v>225</v>
      </c>
      <c r="O15" s="121">
        <f>IF($P15&gt;29.999,(VLOOKUP($N15,Assumptions!$B$24:$J$34,6,FALSE)),(VLOOKUP($N15,Assumptions!$B$24:$J$34,6,FALSE)/30*$P15))</f>
        <v>36000</v>
      </c>
      <c r="P15" s="7">
        <f t="shared" si="0"/>
        <v>32.772602739726025</v>
      </c>
      <c r="Q15" s="39">
        <f t="shared" si="1"/>
        <v>58.060273972602737</v>
      </c>
      <c r="R15" s="23"/>
      <c r="T15" s="81">
        <f>IF(Q15&lt;=Assumptions!$E$43,Assumptions!$E$43-Q15,Assumptions!$E$45)</f>
        <v>6.9397260273972634</v>
      </c>
      <c r="U15" s="191">
        <f t="shared" si="2"/>
        <v>32.772602739726025</v>
      </c>
      <c r="V15" s="277">
        <f>((O15*(1-(1+Assumptions!$G$40)^(-1*(G15-Q15))))/Assumptions!$G$40)-((O15*(1-(1+Assumptions!$G$40)^(-1*(T15))))/Assumptions!$G$40)</f>
        <v>168244.34649333314</v>
      </c>
      <c r="W15" s="277">
        <f>((O15*(1-(1+Assumptions!$G$46)^(-1*(G15-Q15))))/Assumptions!$G$46)-((O15*(1-(1+Assumptions!$G$46)^(-1*(T15))))/Assumptions!$G$46)</f>
        <v>247945.24946805486</v>
      </c>
      <c r="X15" s="121">
        <f>IF($P15&gt;29.999,(VLOOKUP($N15,Assumptions!$B$24:$J$34,7,FALSE)),(VLOOKUP($N15,Assumptions!$B$24:$J$34,7,FALSE)/30*$P15))</f>
        <v>28500</v>
      </c>
      <c r="Y15" s="121">
        <f>IF($P15&gt;29.999,(VLOOKUP($N15,Assumptions!$B$24:$J$34,8,FALSE)),(VLOOKUP($N15,Assumptions!$B$24:$J$34,8,FALSE)/30*$P15))</f>
        <v>36000</v>
      </c>
      <c r="Z15" s="121">
        <f>IF($P15&gt;29.999,(VLOOKUP($N15,Assumptions!$B$24:$J$34,9,FALSE)),(VLOOKUP($N15,Assumptions!$B$24:$J$34,9,FALSE)/30*$P15))</f>
        <v>28000</v>
      </c>
      <c r="AA15" s="148">
        <f>((X15*(1-(1+Assumptions!$H$40)^(-1*(G15-Q15))))/Assumptions!$H$40)-((X15*(1-(1+Assumptions!$H$40)^(-1*(T15))))/Assumptions!$H$40)</f>
        <v>133193.4409738887</v>
      </c>
      <c r="AB15" s="148">
        <f>((Y15*(1-(1+Assumptions!$I$40)^(-1*(G15-Q15))))/Assumptions!$I$40)-((Y15*(1-(1+Assumptions!$I$40)^(-1*(T15))))/Assumptions!$I$40)</f>
        <v>168244.34649333314</v>
      </c>
      <c r="AC15" s="148">
        <f>((Z15*(1-(1+Assumptions!$J$40)^(-1*(G15-Q15))))/Assumptions!$J$40)-((Z15*(1-(1+Assumptions!$J$40)^(-1*(T15))))/Assumptions!$J$40)</f>
        <v>130856.71393925906</v>
      </c>
      <c r="AD15" s="148">
        <f>((X15*(1-(1+Assumptions!$H$46)^(-1*(G15-Q15))))/Assumptions!$H$46)-((X15*(1-(1+Assumptions!$H$46)^(-1*(T15))))/Assumptions!$H$46)</f>
        <v>196289.98916221011</v>
      </c>
      <c r="AE15" s="148">
        <f>((Y15*(1-(1+Assumptions!$I$46)^(-1*(G15-Q15))))/Assumptions!$I$46)-((Y15*(1-(1+Assumptions!$I$46)^(-1*(T15))))/Assumptions!$I$46)</f>
        <v>247945.24946805486</v>
      </c>
      <c r="AF15" s="148">
        <f>((Z15*(1-(1+Assumptions!$J$46)^(-1*(G15-Q15))))/Assumptions!$J$46)-((Z15*(1-(1+Assumptions!$J$46)^(-1*(T15))))/Assumptions!$J$46)</f>
        <v>192846.30514182043</v>
      </c>
      <c r="AG15" s="145">
        <v>37134</v>
      </c>
      <c r="AH15" s="148">
        <f>((AI15*(1-(1+Assumptions!$M$40)^(-1*(G15-Q15))))/Assumptions!$M$40)-((AI15*(1-(1+Assumptions!$M$40)^(-1*(T15))))/Assumptions!$M$40)</f>
        <v>267787.63707948418</v>
      </c>
      <c r="AI15" s="409">
        <f>IF(P15&gt;29.999,(VLOOKUP(N15,Assumptions!$B$24:$M$34,12,FALSE)),(VLOOKUP(N15,Assumptions!$B$24:$M$34,12,FALSE)/30*P15))</f>
        <v>36000</v>
      </c>
      <c r="AJ15" s="148">
        <f>((AI15*(1-(1+Assumptions!$L$40)^(-1*(G15-Q15))))/Assumptions!$L$40)-((AI15*(1-(1+Assumptions!$L$40)^(-1*(T15))))/Assumptions!$L$40)</f>
        <v>168244.34649333314</v>
      </c>
      <c r="AK15" s="148">
        <f>((AI15*(1-(1+Assumptions!$L$46)^(-1*(G15-Q15))))/Assumptions!$L$46)-((AI15*(1-(1+Assumptions!$L$46)^(-1*(T15))))/Assumptions!$L$46)</f>
        <v>247945.24946805486</v>
      </c>
      <c r="AL15" s="148">
        <f>IF(Q15&gt;Assumptions!$L$3,W15,0)</f>
        <v>247945.24946805486</v>
      </c>
      <c r="AM15" s="3">
        <v>20</v>
      </c>
      <c r="AN15" s="3"/>
      <c r="AO15" s="114"/>
      <c r="AP15" s="116"/>
      <c r="AQ15" s="114"/>
      <c r="AR15" s="116"/>
    </row>
    <row r="16" spans="1:44" x14ac:dyDescent="0.2">
      <c r="A16" s="3" t="s">
        <v>104</v>
      </c>
      <c r="B16" s="189">
        <f t="shared" si="3"/>
        <v>12</v>
      </c>
      <c r="D16" s="503" t="s">
        <v>344</v>
      </c>
      <c r="E16" s="255"/>
      <c r="F16" s="36" t="s">
        <v>5</v>
      </c>
      <c r="G16" s="5">
        <f>IF(F16="f",Assumptions!$E$39,Assumptions!$E$38)</f>
        <v>89.3</v>
      </c>
      <c r="H16" s="114">
        <v>18805</v>
      </c>
      <c r="I16" s="116">
        <v>27105</v>
      </c>
      <c r="J16" s="22"/>
      <c r="K16" s="22"/>
      <c r="L16" s="91">
        <f>(((H16+(Assumptions!$E$43*365))-I16))/365</f>
        <v>42.260273972602739</v>
      </c>
      <c r="M16" s="240"/>
      <c r="N16" s="125" t="s">
        <v>224</v>
      </c>
      <c r="O16" s="121">
        <f>IF($P16&gt;29.999,(VLOOKUP($N16,Assumptions!$B$24:$J$34,6,FALSE)),(VLOOKUP($N16,Assumptions!$B$24:$J$34,6,FALSE)/30*$P16))</f>
        <v>32972.054794520547</v>
      </c>
      <c r="P16" s="7">
        <f t="shared" si="0"/>
        <v>27.476712328767125</v>
      </c>
      <c r="Q16" s="39">
        <f t="shared" si="1"/>
        <v>50.216438356164382</v>
      </c>
      <c r="R16" s="23"/>
      <c r="T16" s="81">
        <f>IF(Q16&lt;=Assumptions!$E$43,Assumptions!$E$43-Q16,Assumptions!$E$45)</f>
        <v>14.783561643835618</v>
      </c>
      <c r="U16" s="191">
        <f t="shared" si="2"/>
        <v>27.476712328767125</v>
      </c>
      <c r="V16" s="277">
        <f>((O16*(1-(1+Assumptions!$G$40)^(-1*(G16-Q16))))/Assumptions!$G$40)-((O16*(1-(1+Assumptions!$G$40)^(-1*(T16))))/Assumptions!$G$40)</f>
        <v>89849.897782249958</v>
      </c>
      <c r="W16" s="277">
        <f>((O16*(1-(1+Assumptions!$G$46)^(-1*(G16-Q16))))/Assumptions!$G$46)-((O16*(1-(1+Assumptions!$G$46)^(-1*(T16))))/Assumptions!$G$46)</f>
        <v>173418.21608442249</v>
      </c>
      <c r="X16" s="121">
        <f>IF($P16&gt;29.999,(VLOOKUP($N16,Assumptions!$B$24:$J$34,7,FALSE)),(VLOOKUP($N16,Assumptions!$B$24:$J$34,7,FALSE)/30*$P16))</f>
        <v>22897.260273972606</v>
      </c>
      <c r="Y16" s="121">
        <f>IF($P16&gt;29.999,(VLOOKUP($N16,Assumptions!$B$24:$J$34,8,FALSE)),(VLOOKUP($N16,Assumptions!$B$24:$J$34,8,FALSE)/30*$P16))</f>
        <v>29308.493150684935</v>
      </c>
      <c r="Z16" s="121">
        <f>IF($P16&gt;29.999,(VLOOKUP($N16,Assumptions!$B$24:$J$34,9,FALSE)),(VLOOKUP($N16,Assumptions!$B$24:$J$34,9,FALSE)/30*$P16))</f>
        <v>22897.260273972606</v>
      </c>
      <c r="AA16" s="148">
        <f>((X16*(1-(1+Assumptions!$H$40)^(-1*(G16-Q16))))/Assumptions!$H$40)-((X16*(1-(1+Assumptions!$H$40)^(-1*(T16))))/Assumptions!$H$40)</f>
        <v>62395.762348784716</v>
      </c>
      <c r="AB16" s="148">
        <f>((Y16*(1-(1+Assumptions!$I$40)^(-1*(G16-Q16))))/Assumptions!$I$40)-((Y16*(1-(1+Assumptions!$I$40)^(-1*(T16))))/Assumptions!$I$40)</f>
        <v>79866.575806444453</v>
      </c>
      <c r="AC16" s="148">
        <f>((Z16*(1-(1+Assumptions!$J$40)^(-1*(G16-Q16))))/Assumptions!$J$40)-((Z16*(1-(1+Assumptions!$J$40)^(-1*(T16))))/Assumptions!$J$40)</f>
        <v>62395.762348784716</v>
      </c>
      <c r="AD16" s="148">
        <f>((X16*(1-(1+Assumptions!$H$46)^(-1*(G16-Q16))))/Assumptions!$H$46)-((X16*(1-(1+Assumptions!$H$46)^(-1*(T16))))/Assumptions!$H$46)</f>
        <v>120429.31672529341</v>
      </c>
      <c r="AE16" s="148">
        <f>((Y16*(1-(1+Assumptions!$I$46)^(-1*(G16-Q16))))/Assumptions!$I$46)-((Y16*(1-(1+Assumptions!$I$46)^(-1*(T16))))/Assumptions!$I$46)</f>
        <v>154149.52540837554</v>
      </c>
      <c r="AF16" s="148">
        <f>((Z16*(1-(1+Assumptions!$J$46)^(-1*(G16-Q16))))/Assumptions!$J$46)-((Z16*(1-(1+Assumptions!$J$46)^(-1*(T16))))/Assumptions!$J$46)</f>
        <v>120429.31672529341</v>
      </c>
      <c r="AG16" s="145">
        <v>37134</v>
      </c>
      <c r="AH16" s="148">
        <f>((AI16*(1-(1+Assumptions!$M$40)^(-1*(G16-Q16))))/Assumptions!$M$40)-((AI16*(1-(1+Assumptions!$M$40)^(-1*(T16))))/Assumptions!$M$40)</f>
        <v>197702.59114104282</v>
      </c>
      <c r="AI16" s="409">
        <f>IF(P16&gt;29.999,(VLOOKUP(N16,Assumptions!$B$24:$M$34,12,FALSE)),(VLOOKUP(N16,Assumptions!$B$24:$M$34,12,FALSE)/30*P16))</f>
        <v>32972.054794520547</v>
      </c>
      <c r="AJ16" s="148">
        <f>((AI16*(1-(1+Assumptions!$L$40)^(-1*(G16-Q16))))/Assumptions!$L$40)-((AI16*(1-(1+Assumptions!$L$40)^(-1*(T16))))/Assumptions!$L$40)</f>
        <v>89849.897782249958</v>
      </c>
      <c r="AK16" s="148">
        <f>((AI16*(1-(1+Assumptions!$L$46)^(-1*(G16-Q16))))/Assumptions!$L$46)-((AI16*(1-(1+Assumptions!$L$46)^(-1*(T16))))/Assumptions!$L$46)</f>
        <v>173418.21608442249</v>
      </c>
      <c r="AL16" s="148">
        <f>IF(Q16&gt;Assumptions!$L$3,W16,0)</f>
        <v>0</v>
      </c>
      <c r="AM16" s="3"/>
      <c r="AN16" s="3"/>
      <c r="AO16" s="114"/>
      <c r="AP16" s="116"/>
      <c r="AQ16" s="114"/>
      <c r="AR16" s="116"/>
    </row>
    <row r="17" spans="1:44" x14ac:dyDescent="0.2">
      <c r="A17" s="3" t="s">
        <v>104</v>
      </c>
      <c r="B17" s="189">
        <f t="shared" si="3"/>
        <v>13</v>
      </c>
      <c r="D17" s="503" t="s">
        <v>345</v>
      </c>
      <c r="E17" s="255"/>
      <c r="F17" s="36" t="s">
        <v>6</v>
      </c>
      <c r="G17" s="5">
        <f>IF(F17="f",Assumptions!$E$39,Assumptions!$E$38)</f>
        <v>81.8</v>
      </c>
      <c r="H17" s="114">
        <v>17787</v>
      </c>
      <c r="I17" s="116">
        <v>27174</v>
      </c>
      <c r="J17" s="22"/>
      <c r="K17" s="22"/>
      <c r="L17" s="91">
        <f>(((H17+(Assumptions!$E$43*365))-I17))/365</f>
        <v>39.282191780821918</v>
      </c>
      <c r="M17" s="240"/>
      <c r="N17" s="125" t="s">
        <v>224</v>
      </c>
      <c r="O17" s="121">
        <f>IF($P17&gt;29.999,(VLOOKUP($N17,Assumptions!$B$24:$J$34,6,FALSE)),(VLOOKUP($N17,Assumptions!$B$24:$J$34,6,FALSE)/30*$P17))</f>
        <v>32745.205479452052</v>
      </c>
      <c r="P17" s="7">
        <f t="shared" si="0"/>
        <v>27.287671232876711</v>
      </c>
      <c r="Q17" s="39">
        <f t="shared" si="1"/>
        <v>53.005479452054793</v>
      </c>
      <c r="R17" s="23"/>
      <c r="T17" s="81">
        <f>IF(Q17&lt;=Assumptions!$E$43,Assumptions!$E$43-Q17,Assumptions!$E$45)</f>
        <v>11.994520547945207</v>
      </c>
      <c r="U17" s="191">
        <f t="shared" si="2"/>
        <v>27.287671232876711</v>
      </c>
      <c r="V17" s="277">
        <f>((O17*(1-(1+Assumptions!$G$40)^(-1*(G17-Q17))))/Assumptions!$G$40)-((O17*(1-(1+Assumptions!$G$40)^(-1*(T17))))/Assumptions!$G$40)</f>
        <v>98992.534155367932</v>
      </c>
      <c r="W17" s="277">
        <f>((O17*(1-(1+Assumptions!$G$46)^(-1*(G17-Q17))))/Assumptions!$G$46)-((O17*(1-(1+Assumptions!$G$46)^(-1*(T17))))/Assumptions!$G$46)</f>
        <v>167510.79825354152</v>
      </c>
      <c r="X17" s="121">
        <f>IF($P17&gt;29.999,(VLOOKUP($N17,Assumptions!$B$24:$J$34,7,FALSE)),(VLOOKUP($N17,Assumptions!$B$24:$J$34,7,FALSE)/30*$P17))</f>
        <v>22739.726027397261</v>
      </c>
      <c r="Y17" s="121">
        <f>IF($P17&gt;29.999,(VLOOKUP($N17,Assumptions!$B$24:$J$34,8,FALSE)),(VLOOKUP($N17,Assumptions!$B$24:$J$34,8,FALSE)/30*$P17))</f>
        <v>29106.849315068495</v>
      </c>
      <c r="Z17" s="121">
        <f>IF($P17&gt;29.999,(VLOOKUP($N17,Assumptions!$B$24:$J$34,9,FALSE)),(VLOOKUP($N17,Assumptions!$B$24:$J$34,9,FALSE)/30*$P17))</f>
        <v>22739.726027397261</v>
      </c>
      <c r="AA17" s="148">
        <f>((X17*(1-(1+Assumptions!$H$40)^(-1*(G17-Q17))))/Assumptions!$H$40)-((X17*(1-(1+Assumptions!$H$40)^(-1*(T17))))/Assumptions!$H$40)</f>
        <v>68744.815385672176</v>
      </c>
      <c r="AB17" s="148">
        <f>((Y17*(1-(1+Assumptions!$I$40)^(-1*(G17-Q17))))/Assumptions!$I$40)-((Y17*(1-(1+Assumptions!$I$40)^(-1*(T17))))/Assumptions!$I$40)</f>
        <v>87993.363693660387</v>
      </c>
      <c r="AC17" s="148">
        <f>((Z17*(1-(1+Assumptions!$J$40)^(-1*(G17-Q17))))/Assumptions!$J$40)-((Z17*(1-(1+Assumptions!$J$40)^(-1*(T17))))/Assumptions!$J$40)</f>
        <v>68744.815385672176</v>
      </c>
      <c r="AD17" s="148">
        <f>((X17*(1-(1+Assumptions!$H$46)^(-1*(G17-Q17))))/Assumptions!$H$46)-((X17*(1-(1+Assumptions!$H$46)^(-1*(T17))))/Assumptions!$H$46)</f>
        <v>116326.94323162604</v>
      </c>
      <c r="AE17" s="148">
        <f>((Y17*(1-(1+Assumptions!$I$46)^(-1*(G17-Q17))))/Assumptions!$I$46)-((Y17*(1-(1+Assumptions!$I$46)^(-1*(T17))))/Assumptions!$I$46)</f>
        <v>148898.48733648137</v>
      </c>
      <c r="AF17" s="148">
        <f>((Z17*(1-(1+Assumptions!$J$46)^(-1*(G17-Q17))))/Assumptions!$J$46)-((Z17*(1-(1+Assumptions!$J$46)^(-1*(T17))))/Assumptions!$J$46)</f>
        <v>116326.94323162604</v>
      </c>
      <c r="AG17" s="145">
        <v>37134</v>
      </c>
      <c r="AH17" s="148">
        <f>((AI17*(1-(1+Assumptions!$M$40)^(-1*(G17-Q17))))/Assumptions!$M$40)-((AI17*(1-(1+Assumptions!$M$40)^(-1*(T17))))/Assumptions!$M$40)</f>
        <v>185822.9442049808</v>
      </c>
      <c r="AI17" s="409">
        <f>IF(P17&gt;29.999,(VLOOKUP(N17,Assumptions!$B$24:$M$34,12,FALSE)),(VLOOKUP(N17,Assumptions!$B$24:$M$34,12,FALSE)/30*P17))</f>
        <v>32745.205479452052</v>
      </c>
      <c r="AJ17" s="148">
        <f>((AI17*(1-(1+Assumptions!$L$40)^(-1*(G17-Q17))))/Assumptions!$L$40)-((AI17*(1-(1+Assumptions!$L$40)^(-1*(T17))))/Assumptions!$L$40)</f>
        <v>98992.534155367932</v>
      </c>
      <c r="AK17" s="148">
        <f>((AI17*(1-(1+Assumptions!$L$46)^(-1*(G17-Q17))))/Assumptions!$L$46)-((AI17*(1-(1+Assumptions!$L$46)^(-1*(T17))))/Assumptions!$L$46)</f>
        <v>167510.79825354152</v>
      </c>
      <c r="AL17" s="148">
        <f>IF(Q17&gt;Assumptions!$L$3,W17,0)</f>
        <v>0</v>
      </c>
      <c r="AM17" s="3"/>
      <c r="AN17" s="3"/>
      <c r="AO17" s="114"/>
      <c r="AP17" s="116"/>
      <c r="AQ17" s="114"/>
      <c r="AR17" s="116"/>
    </row>
    <row r="18" spans="1:44" ht="15" x14ac:dyDescent="0.2">
      <c r="A18" s="3" t="s">
        <v>104</v>
      </c>
      <c r="B18" s="189">
        <f t="shared" si="3"/>
        <v>14</v>
      </c>
      <c r="D18" s="503" t="s">
        <v>346</v>
      </c>
      <c r="E18" s="255"/>
      <c r="F18" s="36" t="s">
        <v>5</v>
      </c>
      <c r="G18" s="5">
        <f>IF(F18="f",Assumptions!$E$39,Assumptions!$E$38)</f>
        <v>89.3</v>
      </c>
      <c r="H18" s="114">
        <v>16837</v>
      </c>
      <c r="I18" s="116">
        <v>25172</v>
      </c>
      <c r="J18" s="22"/>
      <c r="K18" s="22"/>
      <c r="L18" s="91">
        <f>(((H18+(Assumptions!$E$43*365))-I18))/365</f>
        <v>42.164383561643838</v>
      </c>
      <c r="M18" s="240"/>
      <c r="N18" s="125" t="s">
        <v>225</v>
      </c>
      <c r="O18" s="121">
        <f>IF($P18&gt;29.999,(VLOOKUP($N18,Assumptions!$B$24:$J$34,6,FALSE)),(VLOOKUP($N18,Assumptions!$B$24:$J$34,6,FALSE)/30*$P18))</f>
        <v>36000</v>
      </c>
      <c r="P18" s="7">
        <f t="shared" si="0"/>
        <v>32.772602739726025</v>
      </c>
      <c r="Q18" s="39">
        <f t="shared" si="1"/>
        <v>55.608219178082194</v>
      </c>
      <c r="R18" s="23"/>
      <c r="T18" s="81">
        <f>IF(Q18&lt;=Assumptions!$E$43,Assumptions!$E$43-Q18,Assumptions!$E$45)</f>
        <v>9.3917808219178056</v>
      </c>
      <c r="U18" s="191">
        <f t="shared" si="2"/>
        <v>32.772602739726025</v>
      </c>
      <c r="V18" s="277">
        <f>((O18*(1-(1+Assumptions!$G$40)^(-1*(G18-Q18))))/Assumptions!$G$40)-((O18*(1-(1+Assumptions!$G$40)^(-1*(T18))))/Assumptions!$G$40)</f>
        <v>156123.95664514194</v>
      </c>
      <c r="W18" s="277">
        <f>((O18*(1-(1+Assumptions!$G$46)^(-1*(G18-Q18))))/Assumptions!$G$46)-((O18*(1-(1+Assumptions!$G$46)^(-1*(T18))))/Assumptions!$G$46)</f>
        <v>260027.90201158091</v>
      </c>
      <c r="X18" s="121">
        <f>IF($P18&gt;29.999,(VLOOKUP($N18,Assumptions!$B$24:$J$34,7,FALSE)),(VLOOKUP($N18,Assumptions!$B$24:$J$34,7,FALSE)/30*$P18))</f>
        <v>28500</v>
      </c>
      <c r="Y18" s="121">
        <f>IF($P18&gt;29.999,(VLOOKUP($N18,Assumptions!$B$24:$J$34,8,FALSE)),(VLOOKUP($N18,Assumptions!$B$24:$J$34,8,FALSE)/30*$P18))</f>
        <v>36000</v>
      </c>
      <c r="Z18" s="121">
        <f>IF($P18&gt;29.999,(VLOOKUP($N18,Assumptions!$B$24:$J$34,9,FALSE)),(VLOOKUP($N18,Assumptions!$B$24:$J$34,9,FALSE)/30*$P18))</f>
        <v>28000</v>
      </c>
      <c r="AA18" s="148">
        <f>((X18*(1-(1+Assumptions!$H$40)^(-1*(G18-Q18))))/Assumptions!$H$40)-((X18*(1-(1+Assumptions!$H$40)^(-1*(T18))))/Assumptions!$H$40)</f>
        <v>123598.13234407068</v>
      </c>
      <c r="AB18" s="148">
        <f>((Y18*(1-(1+Assumptions!$I$40)^(-1*(G18-Q18))))/Assumptions!$I$40)-((Y18*(1-(1+Assumptions!$I$40)^(-1*(T18))))/Assumptions!$I$40)</f>
        <v>156123.95664514194</v>
      </c>
      <c r="AC18" s="148">
        <f>((Z18*(1-(1+Assumptions!$J$40)^(-1*(G18-Q18))))/Assumptions!$J$40)-((Z18*(1-(1+Assumptions!$J$40)^(-1*(T18))))/Assumptions!$J$40)</f>
        <v>121429.7440573326</v>
      </c>
      <c r="AD18" s="148">
        <f>((X18*(1-(1+Assumptions!$H$46)^(-1*(G18-Q18))))/Assumptions!$H$46)-((X18*(1-(1+Assumptions!$H$46)^(-1*(T18))))/Assumptions!$H$46)</f>
        <v>205855.42242583496</v>
      </c>
      <c r="AE18" s="148">
        <f>((Y18*(1-(1+Assumptions!$I$46)^(-1*(G18-Q18))))/Assumptions!$I$46)-((Y18*(1-(1+Assumptions!$I$46)^(-1*(T18))))/Assumptions!$I$46)</f>
        <v>260027.90201158091</v>
      </c>
      <c r="AF18" s="148">
        <f>((Z18*(1-(1+Assumptions!$J$46)^(-1*(G18-Q18))))/Assumptions!$J$46)-((Z18*(1-(1+Assumptions!$J$46)^(-1*(T18))))/Assumptions!$J$46)</f>
        <v>202243.92378678516</v>
      </c>
      <c r="AG18" s="145">
        <v>37134</v>
      </c>
      <c r="AH18" s="148">
        <f>((AI18*(1-(1+Assumptions!$M$40)^(-1*(G18-Q18))))/Assumptions!$M$40)-((AI18*(1-(1+Assumptions!$M$40)^(-1*(T18))))/Assumptions!$M$40)</f>
        <v>288098.51193827664</v>
      </c>
      <c r="AI18" s="409">
        <f>IF(P18&gt;29.999,(VLOOKUP(N18,Assumptions!$B$24:$M$34,12,FALSE)),(VLOOKUP(N18,Assumptions!$B$24:$M$34,12,FALSE)/30*P18))</f>
        <v>36000</v>
      </c>
      <c r="AJ18" s="148">
        <f>((AI18*(1-(1+Assumptions!$L$40)^(-1*(G18-Q18))))/Assumptions!$L$40)-((AI18*(1-(1+Assumptions!$L$40)^(-1*(T18))))/Assumptions!$L$40)</f>
        <v>156123.95664514194</v>
      </c>
      <c r="AK18" s="148">
        <f>((AI18*(1-(1+Assumptions!$L$46)^(-1*(G18-Q18))))/Assumptions!$L$46)-((AI18*(1-(1+Assumptions!$L$46)^(-1*(T18))))/Assumptions!$L$46)</f>
        <v>260027.90201158091</v>
      </c>
      <c r="AL18" s="148">
        <f>IF(Q18&gt;Assumptions!$L$3,W18,0)</f>
        <v>260027.90201158091</v>
      </c>
      <c r="AM18" s="43">
        <f>COUNTIF($Q$5:$Q$143,"&gt;20")</f>
        <v>111</v>
      </c>
      <c r="AN18" s="3"/>
      <c r="AO18" s="114"/>
      <c r="AP18" s="116"/>
      <c r="AQ18" s="114"/>
      <c r="AR18" s="116"/>
    </row>
    <row r="19" spans="1:44" x14ac:dyDescent="0.2">
      <c r="A19" s="3" t="s">
        <v>104</v>
      </c>
      <c r="B19" s="189">
        <f t="shared" si="3"/>
        <v>15</v>
      </c>
      <c r="D19" s="503" t="s">
        <v>347</v>
      </c>
      <c r="E19" s="255"/>
      <c r="F19" s="36" t="s">
        <v>6</v>
      </c>
      <c r="G19" s="5">
        <f>IF(F19="f",Assumptions!$E$39,Assumptions!$E$38)</f>
        <v>81.8</v>
      </c>
      <c r="H19" s="114">
        <v>14921</v>
      </c>
      <c r="I19" s="116">
        <v>23711</v>
      </c>
      <c r="J19" s="22"/>
      <c r="K19" s="22"/>
      <c r="L19" s="91">
        <f>(((H19+(Assumptions!$E$43*365))-I19))/365</f>
        <v>40.917808219178085</v>
      </c>
      <c r="M19" s="240"/>
      <c r="N19" s="125" t="s">
        <v>226</v>
      </c>
      <c r="O19" s="121">
        <f>IF($P19&gt;29.999,(VLOOKUP($N19,Assumptions!$B$24:$J$34,6,FALSE)),(VLOOKUP($N19,Assumptions!$B$24:$J$34,6,FALSE)/30*$P19))</f>
        <v>36000</v>
      </c>
      <c r="P19" s="7">
        <f t="shared" si="0"/>
        <v>36.775342465753425</v>
      </c>
      <c r="Q19" s="39">
        <f t="shared" si="1"/>
        <v>60.857534246575341</v>
      </c>
      <c r="R19" s="23"/>
      <c r="T19" s="81">
        <f>IF(Q19&lt;=Assumptions!$E$43,Assumptions!$E$43-Q19,Assumptions!$E$45)</f>
        <v>4.1424657534246592</v>
      </c>
      <c r="U19" s="191">
        <f t="shared" si="2"/>
        <v>36.775342465753425</v>
      </c>
      <c r="V19" s="277">
        <f>((O19*(1-(1+Assumptions!$G$40)^(-1*(G19-Q19))))/Assumptions!$G$40)-((O19*(1-(1+Assumptions!$G$40)^(-1*(T19))))/Assumptions!$G$40)</f>
        <v>214107.62567973448</v>
      </c>
      <c r="W19" s="277">
        <f>((O19*(1-(1+Assumptions!$G$46)^(-1*(G19-Q19))))/Assumptions!$G$46)-((O19*(1-(1+Assumptions!$G$46)^(-1*(T19))))/Assumptions!$G$46)</f>
        <v>292301.02019473788</v>
      </c>
      <c r="X19" s="121">
        <f>IF($P19&gt;29.999,(VLOOKUP($N19,Assumptions!$B$24:$J$34,7,FALSE)),(VLOOKUP($N19,Assumptions!$B$24:$J$34,7,FALSE)/30*$P19))</f>
        <v>28500</v>
      </c>
      <c r="Y19" s="121">
        <f>IF($P19&gt;29.999,(VLOOKUP($N19,Assumptions!$B$24:$J$34,8,FALSE)),(VLOOKUP($N19,Assumptions!$B$24:$J$34,8,FALSE)/30*$P19))</f>
        <v>36000</v>
      </c>
      <c r="Z19" s="121">
        <f>IF($P19&gt;29.999,(VLOOKUP($N19,Assumptions!$B$24:$J$34,9,FALSE)),(VLOOKUP($N19,Assumptions!$B$24:$J$34,9,FALSE)/30*$P19))</f>
        <v>32000</v>
      </c>
      <c r="AA19" s="148">
        <f>((X19*(1-(1+Assumptions!$H$40)^(-1*(G19-Q19))))/Assumptions!$H$40)-((X19*(1-(1+Assumptions!$H$40)^(-1*(T19))))/Assumptions!$H$40)</f>
        <v>169501.87032978982</v>
      </c>
      <c r="AB19" s="148">
        <f>((Y19*(1-(1+Assumptions!$I$40)^(-1*(G19-Q19))))/Assumptions!$I$40)-((Y19*(1-(1+Assumptions!$I$40)^(-1*(T19))))/Assumptions!$I$40)</f>
        <v>214107.62567973448</v>
      </c>
      <c r="AC19" s="148">
        <f>((Z19*(1-(1+Assumptions!$J$40)^(-1*(G19-Q19))))/Assumptions!$J$40)-((Z19*(1-(1+Assumptions!$J$40)^(-1*(T19))))/Assumptions!$J$40)</f>
        <v>190317.88949309732</v>
      </c>
      <c r="AD19" s="148">
        <f>((X19*(1-(1+Assumptions!$H$46)^(-1*(G19-Q19))))/Assumptions!$H$46)-((X19*(1-(1+Assumptions!$H$46)^(-1*(T19))))/Assumptions!$H$46)</f>
        <v>231404.97432083415</v>
      </c>
      <c r="AE19" s="148">
        <f>((Y19*(1-(1+Assumptions!$I$46)^(-1*(G19-Q19))))/Assumptions!$I$46)-((Y19*(1-(1+Assumptions!$I$46)^(-1*(T19))))/Assumptions!$I$46)</f>
        <v>292301.02019473788</v>
      </c>
      <c r="AF19" s="148">
        <f>((Z19*(1-(1+Assumptions!$J$46)^(-1*(G19-Q19))))/Assumptions!$J$46)-((Z19*(1-(1+Assumptions!$J$46)^(-1*(T19))))/Assumptions!$J$46)</f>
        <v>259823.12906198925</v>
      </c>
      <c r="AG19" s="145">
        <v>37134</v>
      </c>
      <c r="AH19" s="148">
        <f>((AI19*(1-(1+Assumptions!$M$40)^(-1*(G19-Q19))))/Assumptions!$M$40)-((AI19*(1-(1+Assumptions!$M$40)^(-1*(T19))))/Assumptions!$M$40)</f>
        <v>311052.50609157182</v>
      </c>
      <c r="AI19" s="409">
        <f>IF(P19&gt;29.999,(VLOOKUP(N19,Assumptions!$B$24:$M$34,12,FALSE)),(VLOOKUP(N19,Assumptions!$B$24:$M$34,12,FALSE)/30*P19))</f>
        <v>36000</v>
      </c>
      <c r="AJ19" s="148">
        <f>((AI19*(1-(1+Assumptions!$L$40)^(-1*(G19-Q19))))/Assumptions!$L$40)-((AI19*(1-(1+Assumptions!$L$40)^(-1*(T19))))/Assumptions!$L$40)</f>
        <v>214107.62567973448</v>
      </c>
      <c r="AK19" s="148">
        <f>((AI19*(1-(1+Assumptions!$L$46)^(-1*(G19-Q19))))/Assumptions!$L$46)-((AI19*(1-(1+Assumptions!$L$46)^(-1*(T19))))/Assumptions!$L$46)</f>
        <v>292301.02019473788</v>
      </c>
      <c r="AL19" s="148">
        <f>IF(Q19&gt;Assumptions!$L$3,W19,0)</f>
        <v>292301.02019473788</v>
      </c>
      <c r="AM19" s="3"/>
      <c r="AN19" s="3"/>
      <c r="AO19" s="114"/>
      <c r="AP19" s="116"/>
      <c r="AQ19" s="114"/>
      <c r="AR19" s="116"/>
    </row>
    <row r="20" spans="1:44" x14ac:dyDescent="0.2">
      <c r="A20" s="3" t="s">
        <v>104</v>
      </c>
      <c r="B20" s="189">
        <f t="shared" si="3"/>
        <v>16</v>
      </c>
      <c r="D20" s="503" t="s">
        <v>348</v>
      </c>
      <c r="E20" s="255"/>
      <c r="F20" s="36" t="s">
        <v>6</v>
      </c>
      <c r="G20" s="5">
        <f>IF(F20="f",Assumptions!$E$39,Assumptions!$E$38)</f>
        <v>81.8</v>
      </c>
      <c r="H20" s="114">
        <v>21259</v>
      </c>
      <c r="I20" s="116">
        <v>32110</v>
      </c>
      <c r="J20" s="22"/>
      <c r="K20" s="22"/>
      <c r="L20" s="91">
        <f>(((H20+(Assumptions!$E$43*365))-I20))/365</f>
        <v>35.271232876712325</v>
      </c>
      <c r="M20" s="240"/>
      <c r="N20" s="125" t="s">
        <v>211</v>
      </c>
      <c r="O20" s="121">
        <f>IF($P20&gt;29.999,(VLOOKUP($N20,Assumptions!$B$24:$J$34,6,FALSE)),(VLOOKUP($N20,Assumptions!$B$24:$J$34,6,FALSE)/30*$P20))</f>
        <v>16517.260273972603</v>
      </c>
      <c r="P20" s="7">
        <f t="shared" si="0"/>
        <v>13.764383561643836</v>
      </c>
      <c r="Q20" s="39">
        <f t="shared" si="1"/>
        <v>43.493150684931507</v>
      </c>
      <c r="R20" s="23"/>
      <c r="T20" s="81">
        <f>IF(Q20&lt;=Assumptions!$E$43,Assumptions!$E$43-Q20,Assumptions!$E$45)</f>
        <v>21.506849315068493</v>
      </c>
      <c r="U20" s="191">
        <f t="shared" si="2"/>
        <v>13.764383561643836</v>
      </c>
      <c r="V20" s="277">
        <f>((O20*(1-(1+Assumptions!$G$40)^(-1*(G20-Q20))))/Assumptions!$G$40)-((O20*(1-(1+Assumptions!$G$40)^(-1*(T20))))/Assumptions!$G$40)</f>
        <v>21997.816825950111</v>
      </c>
      <c r="W20" s="277">
        <f>((O20*(1-(1+Assumptions!$G$46)^(-1*(G20-Q20))))/Assumptions!$G$46)-((O20*(1-(1+Assumptions!$G$46)^(-1*(T20))))/Assumptions!$G$46)</f>
        <v>48281.156464313914</v>
      </c>
      <c r="X20" s="121">
        <f>IF($P20&gt;29.999,(VLOOKUP($N20,Assumptions!$B$24:$J$34,7,FALSE)),(VLOOKUP($N20,Assumptions!$B$24:$J$34,7,FALSE)/30*$P20))</f>
        <v>4588.1278538812785</v>
      </c>
      <c r="Y20" s="121">
        <f>IF($P20&gt;29.999,(VLOOKUP($N20,Assumptions!$B$24:$J$34,8,FALSE)),(VLOOKUP($N20,Assumptions!$B$24:$J$34,8,FALSE)/30*$P20))</f>
        <v>5505.7534246575342</v>
      </c>
      <c r="Z20" s="121">
        <f>IF($P20&gt;29.999,(VLOOKUP($N20,Assumptions!$B$24:$J$34,9,FALSE)),(VLOOKUP($N20,Assumptions!$B$24:$J$34,9,FALSE)/30*$P20))</f>
        <v>4588.1278538812785</v>
      </c>
      <c r="AA20" s="148">
        <f>((X20*(1-(1+Assumptions!$H$40)^(-1*(G20-Q20))))/Assumptions!$H$40)-((X20*(1-(1+Assumptions!$H$40)^(-1*(T20))))/Assumptions!$H$40)</f>
        <v>6110.5046738750316</v>
      </c>
      <c r="AB20" s="148">
        <f>((Y20*(1-(1+Assumptions!$I$40)^(-1*(G20-Q20))))/Assumptions!$I$40)-((Y20*(1-(1+Assumptions!$I$40)^(-1*(T20))))/Assumptions!$I$40)</f>
        <v>7332.6056086500394</v>
      </c>
      <c r="AC20" s="148">
        <f>((Z20*(1-(1+Assumptions!$J$40)^(-1*(G20-Q20))))/Assumptions!$J$40)-((Z20*(1-(1+Assumptions!$J$40)^(-1*(T20))))/Assumptions!$J$40)</f>
        <v>6110.5046738750316</v>
      </c>
      <c r="AD20" s="148">
        <f>((X20*(1-(1+Assumptions!$H$46)^(-1*(G20-Q20))))/Assumptions!$H$46)-((X20*(1-(1+Assumptions!$H$46)^(-1*(T20))))/Assumptions!$H$46)</f>
        <v>13411.432351198295</v>
      </c>
      <c r="AE20" s="148">
        <f>((Y20*(1-(1+Assumptions!$I$46)^(-1*(G20-Q20))))/Assumptions!$I$46)-((Y20*(1-(1+Assumptions!$I$46)^(-1*(T20))))/Assumptions!$I$46)</f>
        <v>16093.718821437978</v>
      </c>
      <c r="AF20" s="148">
        <f>((Z20*(1-(1+Assumptions!$J$46)^(-1*(G20-Q20))))/Assumptions!$J$46)-((Z20*(1-(1+Assumptions!$J$46)^(-1*(T20))))/Assumptions!$J$46)</f>
        <v>13411.432351198295</v>
      </c>
      <c r="AG20" s="145">
        <v>37134</v>
      </c>
      <c r="AH20" s="148">
        <f>((AI20*(1-(1+Assumptions!$M$40)^(-1*(G20-Q20))))/Assumptions!$M$40)-((AI20*(1-(1+Assumptions!$M$40)^(-1*(T20))))/Assumptions!$M$40)</f>
        <v>56325.439408117585</v>
      </c>
      <c r="AI20" s="409">
        <f>IF(P20&gt;29.999,(VLOOKUP(N20,Assumptions!$B$24:$M$34,12,FALSE)),(VLOOKUP(N20,Assumptions!$B$24:$M$34,12,FALSE)/30*P20))</f>
        <v>16517.260273972603</v>
      </c>
      <c r="AJ20" s="148">
        <f>((AI20*(1-(1+Assumptions!$L$40)^(-1*(G20-Q20))))/Assumptions!$L$40)-((AI20*(1-(1+Assumptions!$L$40)^(-1*(T20))))/Assumptions!$L$40)</f>
        <v>21997.816825950111</v>
      </c>
      <c r="AK20" s="148">
        <f>((AI20*(1-(1+Assumptions!$L$46)^(-1*(G20-Q20))))/Assumptions!$L$46)-((AI20*(1-(1+Assumptions!$L$46)^(-1*(T20))))/Assumptions!$L$46)</f>
        <v>48281.156464313914</v>
      </c>
      <c r="AL20" s="148">
        <f>IF(Q20&gt;Assumptions!$L$3,W20,0)</f>
        <v>0</v>
      </c>
      <c r="AM20" s="3"/>
      <c r="AN20" s="3"/>
      <c r="AO20" s="114"/>
      <c r="AP20" s="116"/>
      <c r="AQ20" s="114"/>
      <c r="AR20" s="116"/>
    </row>
    <row r="21" spans="1:44" x14ac:dyDescent="0.2">
      <c r="A21" s="3" t="s">
        <v>104</v>
      </c>
      <c r="B21" s="189">
        <f t="shared" si="3"/>
        <v>17</v>
      </c>
      <c r="D21" s="503" t="s">
        <v>349</v>
      </c>
      <c r="E21" s="255"/>
      <c r="F21" s="36" t="s">
        <v>6</v>
      </c>
      <c r="G21" s="5">
        <f>IF(F21="f",Assumptions!$E$39,Assumptions!$E$38)</f>
        <v>81.8</v>
      </c>
      <c r="H21" s="114">
        <v>14790</v>
      </c>
      <c r="I21" s="116">
        <v>28821</v>
      </c>
      <c r="J21" s="22"/>
      <c r="K21" s="22"/>
      <c r="L21" s="91">
        <f>(((H21+(Assumptions!$E$43*365))-I21))/365</f>
        <v>26.55890410958904</v>
      </c>
      <c r="M21" s="240"/>
      <c r="N21" s="125" t="s">
        <v>226</v>
      </c>
      <c r="O21" s="121">
        <f>IF($P21&gt;29.999,(VLOOKUP($N21,Assumptions!$B$24:$J$34,6,FALSE)),(VLOOKUP($N21,Assumptions!$B$24:$J$34,6,FALSE)/30*$P21))</f>
        <v>27330.410958904111</v>
      </c>
      <c r="P21" s="7">
        <f t="shared" si="0"/>
        <v>22.775342465753425</v>
      </c>
      <c r="Q21" s="39">
        <f t="shared" si="1"/>
        <v>61.216438356164382</v>
      </c>
      <c r="R21" s="23"/>
      <c r="T21" s="81">
        <f>IF(Q21&lt;=Assumptions!$E$43,Assumptions!$E$43-Q21,Assumptions!$E$45)</f>
        <v>3.7835616438356183</v>
      </c>
      <c r="U21" s="191">
        <f t="shared" si="2"/>
        <v>22.775342465753425</v>
      </c>
      <c r="V21" s="277">
        <f>((O21*(1-(1+Assumptions!$G$40)^(-1*(G21-Q21))))/Assumptions!$G$40)-((O21*(1-(1+Assumptions!$G$40)^(-1*(T21))))/Assumptions!$G$40)</f>
        <v>167651.83863521082</v>
      </c>
      <c r="W21" s="277">
        <f>((O21*(1-(1+Assumptions!$G$46)^(-1*(G21-Q21))))/Assumptions!$G$46)-((O21*(1-(1+Assumptions!$G$46)^(-1*(T21))))/Assumptions!$G$46)</f>
        <v>226644.18188405907</v>
      </c>
      <c r="X21" s="121">
        <f>IF($P21&gt;29.999,(VLOOKUP($N21,Assumptions!$B$24:$J$34,7,FALSE)),(VLOOKUP($N21,Assumptions!$B$24:$J$34,7,FALSE)/30*$P21))</f>
        <v>21636.575342465752</v>
      </c>
      <c r="Y21" s="121">
        <f>IF($P21&gt;29.999,(VLOOKUP($N21,Assumptions!$B$24:$J$34,8,FALSE)),(VLOOKUP($N21,Assumptions!$B$24:$J$34,8,FALSE)/30*$P21))</f>
        <v>27330.410958904111</v>
      </c>
      <c r="Z21" s="121">
        <f>IF($P21&gt;29.999,(VLOOKUP($N21,Assumptions!$B$24:$J$34,9,FALSE)),(VLOOKUP($N21,Assumptions!$B$24:$J$34,9,FALSE)/30*$P21))</f>
        <v>24293.698630136987</v>
      </c>
      <c r="AA21" s="148">
        <f>((X21*(1-(1+Assumptions!$H$40)^(-1*(G21-Q21))))/Assumptions!$H$40)-((X21*(1-(1+Assumptions!$H$40)^(-1*(T21))))/Assumptions!$H$40)</f>
        <v>132724.37225287518</v>
      </c>
      <c r="AB21" s="148">
        <f>((Y21*(1-(1+Assumptions!$I$40)^(-1*(G21-Q21))))/Assumptions!$I$40)-((Y21*(1-(1+Assumptions!$I$40)^(-1*(T21))))/Assumptions!$I$40)</f>
        <v>167651.83863521082</v>
      </c>
      <c r="AC21" s="148">
        <f>((Z21*(1-(1+Assumptions!$J$40)^(-1*(G21-Q21))))/Assumptions!$J$40)-((Z21*(1-(1+Assumptions!$J$40)^(-1*(T21))))/Assumptions!$J$40)</f>
        <v>149023.85656463183</v>
      </c>
      <c r="AD21" s="148">
        <f>((X21*(1-(1+Assumptions!$H$46)^(-1*(G21-Q21))))/Assumptions!$H$46)-((X21*(1-(1+Assumptions!$H$46)^(-1*(T21))))/Assumptions!$H$46)</f>
        <v>179426.64399154673</v>
      </c>
      <c r="AE21" s="148">
        <f>((Y21*(1-(1+Assumptions!$I$46)^(-1*(G21-Q21))))/Assumptions!$I$46)-((Y21*(1-(1+Assumptions!$I$46)^(-1*(T21))))/Assumptions!$I$46)</f>
        <v>226644.18188405907</v>
      </c>
      <c r="AF21" s="148">
        <f>((Z21*(1-(1+Assumptions!$J$46)^(-1*(G21-Q21))))/Assumptions!$J$46)-((Z21*(1-(1+Assumptions!$J$46)^(-1*(T21))))/Assumptions!$J$46)</f>
        <v>201461.4950080525</v>
      </c>
      <c r="AG21" s="145">
        <v>37134</v>
      </c>
      <c r="AH21" s="148">
        <f>((AI21*(1-(1+Assumptions!$M$40)^(-1*(G21-Q21))))/Assumptions!$M$40)-((AI21*(1-(1+Assumptions!$M$40)^(-1*(T21))))/Assumptions!$M$40)</f>
        <v>240725.87244834952</v>
      </c>
      <c r="AI21" s="409">
        <f>IF(P21&gt;29.999,(VLOOKUP(N21,Assumptions!$B$24:$M$34,12,FALSE)),(VLOOKUP(N21,Assumptions!$B$24:$M$34,12,FALSE)/30*P21))</f>
        <v>27330.410958904111</v>
      </c>
      <c r="AJ21" s="148">
        <f>((AI21*(1-(1+Assumptions!$L$40)^(-1*(G21-Q21))))/Assumptions!$L$40)-((AI21*(1-(1+Assumptions!$L$40)^(-1*(T21))))/Assumptions!$L$40)</f>
        <v>167651.83863521082</v>
      </c>
      <c r="AK21" s="148">
        <f>((AI21*(1-(1+Assumptions!$L$46)^(-1*(G21-Q21))))/Assumptions!$L$46)-((AI21*(1-(1+Assumptions!$L$46)^(-1*(T21))))/Assumptions!$L$46)</f>
        <v>226644.18188405907</v>
      </c>
      <c r="AL21" s="148">
        <f>IF(Q21&gt;Assumptions!$L$3,W21,0)</f>
        <v>226644.18188405907</v>
      </c>
      <c r="AM21" s="3"/>
      <c r="AN21" s="3"/>
      <c r="AO21" s="114"/>
      <c r="AP21" s="116"/>
      <c r="AQ21" s="114"/>
      <c r="AR21" s="116"/>
    </row>
    <row r="22" spans="1:44" x14ac:dyDescent="0.2">
      <c r="A22" s="3" t="s">
        <v>104</v>
      </c>
      <c r="B22" s="189">
        <f t="shared" si="3"/>
        <v>18</v>
      </c>
      <c r="D22" s="503" t="s">
        <v>350</v>
      </c>
      <c r="E22" s="255"/>
      <c r="F22" s="36" t="s">
        <v>5</v>
      </c>
      <c r="G22" s="5">
        <f>IF(F22="f",Assumptions!$E$39,Assumptions!$E$38)</f>
        <v>89.3</v>
      </c>
      <c r="H22" s="114">
        <v>19767</v>
      </c>
      <c r="I22" s="116">
        <v>31837</v>
      </c>
      <c r="J22" s="22"/>
      <c r="K22" s="22"/>
      <c r="L22" s="91">
        <f>(((H22+(Assumptions!$E$43*365))-I22))/365</f>
        <v>31.931506849315067</v>
      </c>
      <c r="M22" s="240"/>
      <c r="N22" s="125" t="s">
        <v>223</v>
      </c>
      <c r="O22" s="121">
        <f>IF($P22&gt;29.999,(VLOOKUP($N22,Assumptions!$B$24:$J$34,6,FALSE)),(VLOOKUP($N22,Assumptions!$B$24:$J$34,6,FALSE)/30*$P22))</f>
        <v>17414.794520547945</v>
      </c>
      <c r="P22" s="7">
        <f t="shared" si="0"/>
        <v>14.512328767123288</v>
      </c>
      <c r="Q22" s="39">
        <f t="shared" si="1"/>
        <v>47.580821917808223</v>
      </c>
      <c r="R22" s="23"/>
      <c r="T22" s="81">
        <f>IF(Q22&lt;=Assumptions!$E$43,Assumptions!$E$43-Q22,Assumptions!$E$45)</f>
        <v>17.419178082191777</v>
      </c>
      <c r="U22" s="191">
        <f t="shared" si="2"/>
        <v>14.512328767123288</v>
      </c>
      <c r="V22" s="277">
        <f>((O22*(1-(1+Assumptions!$G$40)^(-1*(G22-Q22))))/Assumptions!$G$40)-((O22*(1-(1+Assumptions!$G$40)^(-1*(T22))))/Assumptions!$G$40)</f>
        <v>37813.600866944093</v>
      </c>
      <c r="W22" s="277">
        <f>((O22*(1-(1+Assumptions!$G$46)^(-1*(G22-Q22))))/Assumptions!$G$46)-((O22*(1-(1+Assumptions!$G$46)^(-1*(T22))))/Assumptions!$G$46)</f>
        <v>78437.325865482184</v>
      </c>
      <c r="X22" s="121">
        <f>IF($P22&gt;29.999,(VLOOKUP($N22,Assumptions!$B$24:$J$34,7,FALSE)),(VLOOKUP($N22,Assumptions!$B$24:$J$34,7,FALSE)/30*$P22))</f>
        <v>8223.6529680365293</v>
      </c>
      <c r="Y22" s="121">
        <f>IF($P22&gt;29.999,(VLOOKUP($N22,Assumptions!$B$24:$J$34,8,FALSE)),(VLOOKUP($N22,Assumptions!$B$24:$J$34,8,FALSE)/30*$P22))</f>
        <v>10158.630136986301</v>
      </c>
      <c r="Z22" s="121">
        <f>IF($P22&gt;29.999,(VLOOKUP($N22,Assumptions!$B$24:$J$34,9,FALSE)),(VLOOKUP($N22,Assumptions!$B$24:$J$34,9,FALSE)/30*$P22))</f>
        <v>8223.6529680365293</v>
      </c>
      <c r="AA22" s="148">
        <f>((X22*(1-(1+Assumptions!$H$40)^(-1*(G22-Q22))))/Assumptions!$H$40)-((X22*(1-(1+Assumptions!$H$40)^(-1*(T22))))/Assumptions!$H$40)</f>
        <v>17856.422631612484</v>
      </c>
      <c r="AB22" s="148">
        <f>((Y22*(1-(1+Assumptions!$I$40)^(-1*(G22-Q22))))/Assumptions!$I$40)-((Y22*(1-(1+Assumptions!$I$40)^(-1*(T22))))/Assumptions!$I$40)</f>
        <v>22057.933839050733</v>
      </c>
      <c r="AC22" s="148">
        <f>((Z22*(1-(1+Assumptions!$J$40)^(-1*(G22-Q22))))/Assumptions!$J$40)-((Z22*(1-(1+Assumptions!$J$40)^(-1*(T22))))/Assumptions!$J$40)</f>
        <v>17856.422631612484</v>
      </c>
      <c r="AD22" s="148">
        <f>((X22*(1-(1+Assumptions!$H$46)^(-1*(G22-Q22))))/Assumptions!$H$46)-((X22*(1-(1+Assumptions!$H$46)^(-1*(T22))))/Assumptions!$H$46)</f>
        <v>37039.848325366591</v>
      </c>
      <c r="AE22" s="148">
        <f>((Y22*(1-(1+Assumptions!$I$46)^(-1*(G22-Q22))))/Assumptions!$I$46)-((Y22*(1-(1+Assumptions!$I$46)^(-1*(T22))))/Assumptions!$I$46)</f>
        <v>45755.10675486461</v>
      </c>
      <c r="AF22" s="148">
        <f>((Z22*(1-(1+Assumptions!$J$46)^(-1*(G22-Q22))))/Assumptions!$J$46)-((Z22*(1-(1+Assumptions!$J$46)^(-1*(T22))))/Assumptions!$J$46)</f>
        <v>37039.848325366591</v>
      </c>
      <c r="AG22" s="145">
        <v>37134</v>
      </c>
      <c r="AH22" s="148">
        <f>((AI22*(1-(1+Assumptions!$M$40)^(-1*(G22-Q22))))/Assumptions!$M$40)-((AI22*(1-(1+Assumptions!$M$40)^(-1*(T22))))/Assumptions!$M$40)</f>
        <v>90677.625294106023</v>
      </c>
      <c r="AI22" s="409">
        <f>IF(P22&gt;29.999,(VLOOKUP(N22,Assumptions!$B$24:$M$34,12,FALSE)),(VLOOKUP(N22,Assumptions!$B$24:$M$34,12,FALSE)/30*P22))</f>
        <v>17414.794520547945</v>
      </c>
      <c r="AJ22" s="148">
        <f>((AI22*(1-(1+Assumptions!$L$40)^(-1*(G22-Q22))))/Assumptions!$L$40)-((AI22*(1-(1+Assumptions!$L$40)^(-1*(T22))))/Assumptions!$L$40)</f>
        <v>37813.600866944093</v>
      </c>
      <c r="AK22" s="148">
        <f>((AI22*(1-(1+Assumptions!$L$46)^(-1*(G22-Q22))))/Assumptions!$L$46)-((AI22*(1-(1+Assumptions!$L$46)^(-1*(T22))))/Assumptions!$L$46)</f>
        <v>78437.325865482184</v>
      </c>
      <c r="AL22" s="148">
        <f>IF(Q22&gt;Assumptions!$L$3,W22,0)</f>
        <v>0</v>
      </c>
      <c r="AM22" s="3"/>
      <c r="AN22" s="3"/>
      <c r="AO22" s="114"/>
      <c r="AP22" s="116"/>
      <c r="AQ22" s="114"/>
      <c r="AR22" s="116"/>
    </row>
    <row r="23" spans="1:44" x14ac:dyDescent="0.2">
      <c r="A23" s="3" t="s">
        <v>104</v>
      </c>
      <c r="B23" s="189">
        <f t="shared" si="3"/>
        <v>19</v>
      </c>
      <c r="D23" s="503" t="s">
        <v>351</v>
      </c>
      <c r="E23" s="255"/>
      <c r="F23" s="36" t="s">
        <v>6</v>
      </c>
      <c r="G23" s="5">
        <f>IF(F23="f",Assumptions!$E$39,Assumptions!$E$38)</f>
        <v>81.8</v>
      </c>
      <c r="H23" s="114">
        <v>26374</v>
      </c>
      <c r="I23" s="116">
        <v>35764</v>
      </c>
      <c r="J23" s="22"/>
      <c r="K23" s="22"/>
      <c r="L23" s="91">
        <f>(((H23+(Assumptions!$E$43*365))-I23))/365</f>
        <v>39.273972602739725</v>
      </c>
      <c r="M23" s="240"/>
      <c r="N23" s="125" t="s">
        <v>220</v>
      </c>
      <c r="O23" s="121">
        <f>IF($P23&gt;29.999,(VLOOKUP($N23,Assumptions!$B$24:$J$34,6,FALSE)),(VLOOKUP($N23,Assumptions!$B$24:$J$34,6,FALSE)/30*$P23))</f>
        <v>4504.1095890410961</v>
      </c>
      <c r="P23" s="7">
        <f t="shared" si="0"/>
        <v>3.7534246575342465</v>
      </c>
      <c r="Q23" s="39">
        <f t="shared" si="1"/>
        <v>29.479452054794521</v>
      </c>
      <c r="R23" s="23"/>
      <c r="T23" s="81">
        <f>IF(Q23&lt;=Assumptions!$E$43,Assumptions!$E$43-Q23,Assumptions!$E$45)</f>
        <v>35.520547945205479</v>
      </c>
      <c r="U23" s="191">
        <f t="shared" si="2"/>
        <v>3.7534246575342465</v>
      </c>
      <c r="V23" s="277">
        <f>((O23*(1-(1+Assumptions!$G$40)^(-1*(G23-Q23))))/Assumptions!$G$40)-((O23*(1-(1+Assumptions!$G$40)^(-1*(T23))))/Assumptions!$G$40)</f>
        <v>1792.9445353704577</v>
      </c>
      <c r="W23" s="277">
        <f>((O23*(1-(1+Assumptions!$G$46)^(-1*(G23-Q23))))/Assumptions!$G$46)-((O23*(1-(1+Assumptions!$G$46)^(-1*(T23))))/Assumptions!$G$46)</f>
        <v>5772.6584087395313</v>
      </c>
      <c r="X23" s="121">
        <f>IF($P23&gt;29.999,(VLOOKUP($N23,Assumptions!$B$24:$J$34,7,FALSE)),(VLOOKUP($N23,Assumptions!$B$24:$J$34,7,FALSE)/30*$P23))</f>
        <v>250.22831050228311</v>
      </c>
      <c r="Y23" s="121">
        <f>IF($P23&gt;29.999,(VLOOKUP($N23,Assumptions!$B$24:$J$34,8,FALSE)),(VLOOKUP($N23,Assumptions!$B$24:$J$34,8,FALSE)/30*$P23))</f>
        <v>375.34246575342468</v>
      </c>
      <c r="Z23" s="121">
        <f>IF($P23&gt;29.999,(VLOOKUP($N23,Assumptions!$B$24:$J$34,9,FALSE)),(VLOOKUP($N23,Assumptions!$B$24:$J$34,9,FALSE)/30*$P23))</f>
        <v>250.22831050228311</v>
      </c>
      <c r="AA23" s="148">
        <f>((X23*(1-(1+Assumptions!$H$40)^(-1*(G23-Q23))))/Assumptions!$H$40)-((X23*(1-(1+Assumptions!$H$40)^(-1*(T23))))/Assumptions!$H$40)</f>
        <v>99.608029742802955</v>
      </c>
      <c r="AB23" s="148">
        <f>((Y23*(1-(1+Assumptions!$I$40)^(-1*(G23-Q23))))/Assumptions!$I$40)-((Y23*(1-(1+Assumptions!$I$40)^(-1*(T23))))/Assumptions!$I$40)</f>
        <v>149.41204461420466</v>
      </c>
      <c r="AC23" s="148">
        <f>((Z23*(1-(1+Assumptions!$J$40)^(-1*(G23-Q23))))/Assumptions!$J$40)-((Z23*(1-(1+Assumptions!$J$40)^(-1*(T23))))/Assumptions!$J$40)</f>
        <v>99.608029742802955</v>
      </c>
      <c r="AD23" s="148">
        <f>((X23*(1-(1+Assumptions!$H$46)^(-1*(G23-Q23))))/Assumptions!$H$46)-((X23*(1-(1+Assumptions!$H$46)^(-1*(T23))))/Assumptions!$H$46)</f>
        <v>320.70324492997361</v>
      </c>
      <c r="AE23" s="148">
        <f>((Y23*(1-(1+Assumptions!$I$46)^(-1*(G23-Q23))))/Assumptions!$I$46)-((Y23*(1-(1+Assumptions!$I$46)^(-1*(T23))))/Assumptions!$I$46)</f>
        <v>481.05486739496155</v>
      </c>
      <c r="AF23" s="148">
        <f>((Z23*(1-(1+Assumptions!$J$46)^(-1*(G23-Q23))))/Assumptions!$J$46)-((Z23*(1-(1+Assumptions!$J$46)^(-1*(T23))))/Assumptions!$J$46)</f>
        <v>320.70324492997361</v>
      </c>
      <c r="AG23" s="145">
        <v>37134</v>
      </c>
      <c r="AH23" s="148">
        <f>((AI23*(1-(1+Assumptions!$M$40)^(-1*(G23-Q23))))/Assumptions!$M$40)-((AI23*(1-(1+Assumptions!$M$40)^(-1*(T23))))/Assumptions!$M$40)</f>
        <v>7253.0815947003139</v>
      </c>
      <c r="AI23" s="409">
        <f>IF(P23&gt;29.999,(VLOOKUP(N23,Assumptions!$B$24:$M$34,12,FALSE)),(VLOOKUP(N23,Assumptions!$B$24:$M$34,12,FALSE)/30*P23))</f>
        <v>4504.1095890410961</v>
      </c>
      <c r="AJ23" s="148">
        <f>((AI23*(1-(1+Assumptions!$L$40)^(-1*(G23-Q23))))/Assumptions!$L$40)-((AI23*(1-(1+Assumptions!$L$40)^(-1*(T23))))/Assumptions!$L$40)</f>
        <v>1792.9445353704577</v>
      </c>
      <c r="AK23" s="148">
        <f>((AI23*(1-(1+Assumptions!$L$46)^(-1*(G23-Q23))))/Assumptions!$L$46)-((AI23*(1-(1+Assumptions!$L$46)^(-1*(T23))))/Assumptions!$L$46)</f>
        <v>5772.6584087395313</v>
      </c>
      <c r="AL23" s="148">
        <f>IF(Q23&gt;Assumptions!$L$3,W23,0)</f>
        <v>0</v>
      </c>
      <c r="AM23" s="3"/>
      <c r="AN23" s="3"/>
      <c r="AO23" s="114"/>
      <c r="AP23" s="116"/>
      <c r="AQ23" s="114"/>
      <c r="AR23" s="116"/>
    </row>
    <row r="24" spans="1:44" x14ac:dyDescent="0.2">
      <c r="A24" s="3" t="s">
        <v>104</v>
      </c>
      <c r="B24" s="189">
        <f t="shared" si="3"/>
        <v>20</v>
      </c>
      <c r="D24" s="503" t="s">
        <v>352</v>
      </c>
      <c r="E24" s="255"/>
      <c r="F24" s="36" t="s">
        <v>6</v>
      </c>
      <c r="G24" s="5">
        <f>IF(F24="f",Assumptions!$E$39,Assumptions!$E$38)</f>
        <v>81.8</v>
      </c>
      <c r="H24" s="114">
        <v>14295</v>
      </c>
      <c r="I24" s="116">
        <v>26267</v>
      </c>
      <c r="J24" s="22"/>
      <c r="K24" s="22"/>
      <c r="L24" s="91">
        <f>(((H24+(Assumptions!$E$43*365))-I24))/365</f>
        <v>32.200000000000003</v>
      </c>
      <c r="M24" s="240"/>
      <c r="N24" s="125" t="s">
        <v>226</v>
      </c>
      <c r="O24" s="121">
        <f>IF($P24&gt;29.999,(VLOOKUP($N24,Assumptions!$B$24:$J$34,6,FALSE)),(VLOOKUP($N24,Assumptions!$B$24:$J$34,6,FALSE)/30*$P24))</f>
        <v>35727.123287671231</v>
      </c>
      <c r="P24" s="7">
        <f t="shared" si="0"/>
        <v>29.772602739726029</v>
      </c>
      <c r="Q24" s="39">
        <f t="shared" si="1"/>
        <v>62.57260273972603</v>
      </c>
      <c r="R24" s="23"/>
      <c r="T24" s="81">
        <f>IF(Q24&lt;=Assumptions!$E$43,Assumptions!$E$43-Q24,Assumptions!$E$45)</f>
        <v>2.4273972602739704</v>
      </c>
      <c r="U24" s="191">
        <f t="shared" si="2"/>
        <v>29.772602739726029</v>
      </c>
      <c r="V24" s="277">
        <f>((O24*(1-(1+Assumptions!$G$40)^(-1*(G24-Q24))))/Assumptions!$G$40)-((O24*(1-(1+Assumptions!$G$40)^(-1*(T24))))/Assumptions!$G$40)</f>
        <v>246329.65055648744</v>
      </c>
      <c r="W24" s="277">
        <f>((O24*(1-(1+Assumptions!$G$46)^(-1*(G24-Q24))))/Assumptions!$G$46)-((O24*(1-(1+Assumptions!$G$46)^(-1*(T24))))/Assumptions!$G$46)</f>
        <v>320884.44293216831</v>
      </c>
      <c r="X24" s="121">
        <f>IF($P24&gt;29.999,(VLOOKUP($N24,Assumptions!$B$24:$J$34,7,FALSE)),(VLOOKUP($N24,Assumptions!$B$24:$J$34,7,FALSE)/30*$P24))</f>
        <v>28283.972602739726</v>
      </c>
      <c r="Y24" s="121">
        <f>IF($P24&gt;29.999,(VLOOKUP($N24,Assumptions!$B$24:$J$34,8,FALSE)),(VLOOKUP($N24,Assumptions!$B$24:$J$34,8,FALSE)/30*$P24))</f>
        <v>35727.123287671231</v>
      </c>
      <c r="Z24" s="121">
        <f>IF($P24&gt;29.999,(VLOOKUP($N24,Assumptions!$B$24:$J$34,9,FALSE)),(VLOOKUP($N24,Assumptions!$B$24:$J$34,9,FALSE)/30*$P24))</f>
        <v>31757.442922374434</v>
      </c>
      <c r="AA24" s="148">
        <f>((X24*(1-(1+Assumptions!$H$40)^(-1*(G24-Q24))))/Assumptions!$H$40)-((X24*(1-(1+Assumptions!$H$40)^(-1*(T24))))/Assumptions!$H$40)</f>
        <v>195010.97335721922</v>
      </c>
      <c r="AB24" s="148">
        <f>((Y24*(1-(1+Assumptions!$I$40)^(-1*(G24-Q24))))/Assumptions!$I$40)-((Y24*(1-(1+Assumptions!$I$40)^(-1*(T24))))/Assumptions!$I$40)</f>
        <v>246329.65055648744</v>
      </c>
      <c r="AC24" s="148">
        <f>((Z24*(1-(1+Assumptions!$J$40)^(-1*(G24-Q24))))/Assumptions!$J$40)-((Z24*(1-(1+Assumptions!$J$40)^(-1*(T24))))/Assumptions!$J$40)</f>
        <v>218959.68938354438</v>
      </c>
      <c r="AD24" s="148">
        <f>((X24*(1-(1+Assumptions!$H$46)^(-1*(G24-Q24))))/Assumptions!$H$46)-((X24*(1-(1+Assumptions!$H$46)^(-1*(T24))))/Assumptions!$H$46)</f>
        <v>254033.51732129991</v>
      </c>
      <c r="AE24" s="148">
        <f>((Y24*(1-(1+Assumptions!$I$46)^(-1*(G24-Q24))))/Assumptions!$I$46)-((Y24*(1-(1+Assumptions!$I$46)^(-1*(T24))))/Assumptions!$I$46)</f>
        <v>320884.44293216831</v>
      </c>
      <c r="AF24" s="148">
        <f>((Z24*(1-(1+Assumptions!$J$46)^(-1*(G24-Q24))))/Assumptions!$J$46)-((Z24*(1-(1+Assumptions!$J$46)^(-1*(T24))))/Assumptions!$J$46)</f>
        <v>285230.61593970528</v>
      </c>
      <c r="AG24" s="145">
        <v>37134</v>
      </c>
      <c r="AH24" s="148">
        <f>((AI24*(1-(1+Assumptions!$M$40)^(-1*(G24-Q24))))/Assumptions!$M$40)-((AI24*(1-(1+Assumptions!$M$40)^(-1*(T24))))/Assumptions!$M$40)</f>
        <v>338383.21589436015</v>
      </c>
      <c r="AI24" s="409">
        <f>IF(P24&gt;29.999,(VLOOKUP(N24,Assumptions!$B$24:$M$34,12,FALSE)),(VLOOKUP(N24,Assumptions!$B$24:$M$34,12,FALSE)/30*P24))</f>
        <v>35727.123287671231</v>
      </c>
      <c r="AJ24" s="148">
        <f>((AI24*(1-(1+Assumptions!$L$40)^(-1*(G24-Q24))))/Assumptions!$L$40)-((AI24*(1-(1+Assumptions!$L$40)^(-1*(T24))))/Assumptions!$L$40)</f>
        <v>246329.65055648744</v>
      </c>
      <c r="AK24" s="148">
        <f>((AI24*(1-(1+Assumptions!$L$46)^(-1*(G24-Q24))))/Assumptions!$L$46)-((AI24*(1-(1+Assumptions!$L$46)^(-1*(T24))))/Assumptions!$L$46)</f>
        <v>320884.44293216831</v>
      </c>
      <c r="AL24" s="148">
        <f>IF(Q24&gt;Assumptions!$L$3,W24,0)</f>
        <v>320884.44293216831</v>
      </c>
      <c r="AM24" s="3"/>
      <c r="AN24" s="3"/>
      <c r="AO24" s="114"/>
      <c r="AP24" s="116"/>
      <c r="AQ24" s="114"/>
      <c r="AR24" s="116"/>
    </row>
    <row r="25" spans="1:44" x14ac:dyDescent="0.2">
      <c r="A25" s="3" t="s">
        <v>104</v>
      </c>
      <c r="B25" s="189">
        <f t="shared" si="3"/>
        <v>21</v>
      </c>
      <c r="D25" s="503" t="s">
        <v>353</v>
      </c>
      <c r="E25" s="255"/>
      <c r="F25" s="36" t="s">
        <v>5</v>
      </c>
      <c r="G25" s="5">
        <f>IF(F25="f",Assumptions!$E$39,Assumptions!$E$38)</f>
        <v>89.3</v>
      </c>
      <c r="H25" s="114">
        <v>21579</v>
      </c>
      <c r="I25" s="116">
        <v>33573</v>
      </c>
      <c r="J25" s="22"/>
      <c r="K25" s="22"/>
      <c r="L25" s="91">
        <f>(((H25+(Assumptions!$E$43*365))-I25))/365</f>
        <v>32.139726027397259</v>
      </c>
      <c r="M25" s="240"/>
      <c r="N25" s="125" t="s">
        <v>211</v>
      </c>
      <c r="O25" s="121">
        <f>IF($P25&gt;29.999,(VLOOKUP($N25,Assumptions!$B$24:$J$34,6,FALSE)),(VLOOKUP($N25,Assumptions!$B$24:$J$34,6,FALSE)/30*$P25))</f>
        <v>11707.397260273972</v>
      </c>
      <c r="P25" s="7">
        <f t="shared" si="0"/>
        <v>9.7561643835616429</v>
      </c>
      <c r="Q25" s="39">
        <f t="shared" si="1"/>
        <v>42.61643835616438</v>
      </c>
      <c r="R25" s="23"/>
      <c r="T25" s="81">
        <f>IF(Q25&lt;=Assumptions!$E$43,Assumptions!$E$43-Q25,Assumptions!$E$45)</f>
        <v>22.38356164383562</v>
      </c>
      <c r="U25" s="191">
        <f t="shared" si="2"/>
        <v>9.7561643835616429</v>
      </c>
      <c r="V25" s="277">
        <f>((O25*(1-(1+Assumptions!$G$40)^(-1*(G25-Q25))))/Assumptions!$G$40)-((O25*(1-(1+Assumptions!$G$40)^(-1*(T25))))/Assumptions!$G$40)</f>
        <v>16572.596074445479</v>
      </c>
      <c r="W25" s="277">
        <f>((O25*(1-(1+Assumptions!$G$46)^(-1*(G25-Q25))))/Assumptions!$G$46)-((O25*(1-(1+Assumptions!$G$46)^(-1*(T25))))/Assumptions!$G$46)</f>
        <v>39374.651563653606</v>
      </c>
      <c r="X25" s="121">
        <f>IF($P25&gt;29.999,(VLOOKUP($N25,Assumptions!$B$24:$J$34,7,FALSE)),(VLOOKUP($N25,Assumptions!$B$24:$J$34,7,FALSE)/30*$P25))</f>
        <v>3252.0547945205476</v>
      </c>
      <c r="Y25" s="121">
        <f>IF($P25&gt;29.999,(VLOOKUP($N25,Assumptions!$B$24:$J$34,8,FALSE)),(VLOOKUP($N25,Assumptions!$B$24:$J$34,8,FALSE)/30*$P25))</f>
        <v>3902.4657534246571</v>
      </c>
      <c r="Z25" s="121">
        <f>IF($P25&gt;29.999,(VLOOKUP($N25,Assumptions!$B$24:$J$34,9,FALSE)),(VLOOKUP($N25,Assumptions!$B$24:$J$34,9,FALSE)/30*$P25))</f>
        <v>3252.0547945205476</v>
      </c>
      <c r="AA25" s="148">
        <f>((X25*(1-(1+Assumptions!$H$40)^(-1*(G25-Q25))))/Assumptions!$H$40)-((X25*(1-(1+Assumptions!$H$40)^(-1*(T25))))/Assumptions!$H$40)</f>
        <v>4603.4989095681849</v>
      </c>
      <c r="AB25" s="148">
        <f>((Y25*(1-(1+Assumptions!$I$40)^(-1*(G25-Q25))))/Assumptions!$I$40)-((Y25*(1-(1+Assumptions!$I$40)^(-1*(T25))))/Assumptions!$I$40)</f>
        <v>5524.198691481819</v>
      </c>
      <c r="AC25" s="148">
        <f>((Z25*(1-(1+Assumptions!$J$40)^(-1*(G25-Q25))))/Assumptions!$J$40)-((Z25*(1-(1+Assumptions!$J$40)^(-1*(T25))))/Assumptions!$J$40)</f>
        <v>4603.4989095681849</v>
      </c>
      <c r="AD25" s="148">
        <f>((X25*(1-(1+Assumptions!$H$46)^(-1*(G25-Q25))))/Assumptions!$H$46)-((X25*(1-(1+Assumptions!$H$46)^(-1*(T25))))/Assumptions!$H$46)</f>
        <v>10937.403212126002</v>
      </c>
      <c r="AE25" s="148">
        <f>((Y25*(1-(1+Assumptions!$I$46)^(-1*(G25-Q25))))/Assumptions!$I$46)-((Y25*(1-(1+Assumptions!$I$46)^(-1*(T25))))/Assumptions!$I$46)</f>
        <v>13124.883854551212</v>
      </c>
      <c r="AF25" s="148">
        <f>((Z25*(1-(1+Assumptions!$J$46)^(-1*(G25-Q25))))/Assumptions!$J$46)-((Z25*(1-(1+Assumptions!$J$46)^(-1*(T25))))/Assumptions!$J$46)</f>
        <v>10937.403212126002</v>
      </c>
      <c r="AG25" s="145">
        <v>37134</v>
      </c>
      <c r="AH25" s="148">
        <f>((AI25*(1-(1+Assumptions!$M$40)^(-1*(G25-Q25))))/Assumptions!$M$40)-((AI25*(1-(1+Assumptions!$M$40)^(-1*(T25))))/Assumptions!$M$40)</f>
        <v>46731.31590467444</v>
      </c>
      <c r="AI25" s="409">
        <f>IF(P25&gt;29.999,(VLOOKUP(N25,Assumptions!$B$24:$M$34,12,FALSE)),(VLOOKUP(N25,Assumptions!$B$24:$M$34,12,FALSE)/30*P25))</f>
        <v>11707.397260273972</v>
      </c>
      <c r="AJ25" s="148">
        <f>((AI25*(1-(1+Assumptions!$L$40)^(-1*(G25-Q25))))/Assumptions!$L$40)-((AI25*(1-(1+Assumptions!$L$40)^(-1*(T25))))/Assumptions!$L$40)</f>
        <v>16572.596074445479</v>
      </c>
      <c r="AK25" s="148">
        <f>((AI25*(1-(1+Assumptions!$L$46)^(-1*(G25-Q25))))/Assumptions!$L$46)-((AI25*(1-(1+Assumptions!$L$46)^(-1*(T25))))/Assumptions!$L$46)</f>
        <v>39374.651563653606</v>
      </c>
      <c r="AL25" s="148">
        <f>IF(Q25&gt;Assumptions!$L$3,W25,0)</f>
        <v>0</v>
      </c>
      <c r="AM25" s="3"/>
      <c r="AN25" s="3"/>
      <c r="AO25" s="114"/>
      <c r="AP25" s="116"/>
      <c r="AQ25" s="114"/>
      <c r="AR25" s="116"/>
    </row>
    <row r="26" spans="1:44" x14ac:dyDescent="0.2">
      <c r="A26" s="3" t="s">
        <v>104</v>
      </c>
      <c r="B26" s="189">
        <f t="shared" si="3"/>
        <v>22</v>
      </c>
      <c r="D26" s="503" t="s">
        <v>354</v>
      </c>
      <c r="E26" s="255"/>
      <c r="F26" s="36" t="s">
        <v>5</v>
      </c>
      <c r="G26" s="5">
        <f>IF(F26="f",Assumptions!$E$39,Assumptions!$E$38)</f>
        <v>89.3</v>
      </c>
      <c r="H26" s="114">
        <v>17063</v>
      </c>
      <c r="I26" s="116">
        <v>26524</v>
      </c>
      <c r="J26" s="22"/>
      <c r="K26" s="22"/>
      <c r="L26" s="91">
        <f>(((H26+(Assumptions!$E$43*365))-I26))/365</f>
        <v>39.079452054794523</v>
      </c>
      <c r="M26" s="240"/>
      <c r="N26" s="125" t="s">
        <v>225</v>
      </c>
      <c r="O26" s="121">
        <f>IF($P26&gt;29.999,(VLOOKUP($N26,Assumptions!$B$24:$J$34,6,FALSE)),(VLOOKUP($N26,Assumptions!$B$24:$J$34,6,FALSE)/30*$P26))</f>
        <v>34882.191780821922</v>
      </c>
      <c r="P26" s="7">
        <f t="shared" si="0"/>
        <v>29.068493150684933</v>
      </c>
      <c r="Q26" s="39">
        <f t="shared" si="1"/>
        <v>54.989041095890414</v>
      </c>
      <c r="R26" s="23"/>
      <c r="T26" s="81">
        <f>IF(Q26&lt;=Assumptions!$E$43,Assumptions!$E$43-Q26,Assumptions!$E$45)</f>
        <v>10.010958904109586</v>
      </c>
      <c r="U26" s="191">
        <f t="shared" si="2"/>
        <v>29.068493150684933</v>
      </c>
      <c r="V26" s="277">
        <f>((O26*(1-(1+Assumptions!$G$40)^(-1*(G26-Q26))))/Assumptions!$G$40)-((O26*(1-(1+Assumptions!$G$40)^(-1*(T26))))/Assumptions!$G$40)</f>
        <v>143415.84845679143</v>
      </c>
      <c r="W26" s="277">
        <f>((O26*(1-(1+Assumptions!$G$46)^(-1*(G26-Q26))))/Assumptions!$G$46)-((O26*(1-(1+Assumptions!$G$46)^(-1*(T26))))/Assumptions!$G$46)</f>
        <v>242940.66273860683</v>
      </c>
      <c r="X26" s="121">
        <f>IF($P26&gt;29.999,(VLOOKUP($N26,Assumptions!$B$24:$J$34,7,FALSE)),(VLOOKUP($N26,Assumptions!$B$24:$J$34,7,FALSE)/30*$P26))</f>
        <v>27615.068493150688</v>
      </c>
      <c r="Y26" s="121">
        <f>IF($P26&gt;29.999,(VLOOKUP($N26,Assumptions!$B$24:$J$34,8,FALSE)),(VLOOKUP($N26,Assumptions!$B$24:$J$34,8,FALSE)/30*$P26))</f>
        <v>34882.191780821922</v>
      </c>
      <c r="Z26" s="121">
        <f>IF($P26&gt;29.999,(VLOOKUP($N26,Assumptions!$B$24:$J$34,9,FALSE)),(VLOOKUP($N26,Assumptions!$B$24:$J$34,9,FALSE)/30*$P26))</f>
        <v>27130.593607305938</v>
      </c>
      <c r="AA26" s="148">
        <f>((X26*(1-(1+Assumptions!$H$40)^(-1*(G26-Q26))))/Assumptions!$H$40)-((X26*(1-(1+Assumptions!$H$40)^(-1*(T26))))/Assumptions!$H$40)</f>
        <v>113537.54669495983</v>
      </c>
      <c r="AB26" s="148">
        <f>((Y26*(1-(1+Assumptions!$I$40)^(-1*(G26-Q26))))/Assumptions!$I$40)-((Y26*(1-(1+Assumptions!$I$40)^(-1*(T26))))/Assumptions!$I$40)</f>
        <v>143415.84845679143</v>
      </c>
      <c r="AC26" s="148">
        <f>((Z26*(1-(1+Assumptions!$J$40)^(-1*(G26-Q26))))/Assumptions!$J$40)-((Z26*(1-(1+Assumptions!$J$40)^(-1*(T26))))/Assumptions!$J$40)</f>
        <v>111545.65991083774</v>
      </c>
      <c r="AD26" s="148">
        <f>((X26*(1-(1+Assumptions!$H$46)^(-1*(G26-Q26))))/Assumptions!$H$46)-((X26*(1-(1+Assumptions!$H$46)^(-1*(T26))))/Assumptions!$H$46)</f>
        <v>192328.02466806376</v>
      </c>
      <c r="AE26" s="148">
        <f>((Y26*(1-(1+Assumptions!$I$46)^(-1*(G26-Q26))))/Assumptions!$I$46)-((Y26*(1-(1+Assumptions!$I$46)^(-1*(T26))))/Assumptions!$I$46)</f>
        <v>242940.66273860683</v>
      </c>
      <c r="AF26" s="148">
        <f>((Z26*(1-(1+Assumptions!$J$46)^(-1*(G26-Q26))))/Assumptions!$J$46)-((Z26*(1-(1+Assumptions!$J$46)^(-1*(T26))))/Assumptions!$J$46)</f>
        <v>188953.84879669419</v>
      </c>
      <c r="AG26" s="145">
        <v>37134</v>
      </c>
      <c r="AH26" s="148">
        <f>((AI26*(1-(1+Assumptions!$M$40)^(-1*(G26-Q26))))/Assumptions!$M$40)-((AI26*(1-(1+Assumptions!$M$40)^(-1*(T26))))/Assumptions!$M$40)</f>
        <v>270050.4258498773</v>
      </c>
      <c r="AI26" s="409">
        <f>IF(P26&gt;29.999,(VLOOKUP(N26,Assumptions!$B$24:$M$34,12,FALSE)),(VLOOKUP(N26,Assumptions!$B$24:$M$34,12,FALSE)/30*P26))</f>
        <v>34882.191780821922</v>
      </c>
      <c r="AJ26" s="148">
        <f>((AI26*(1-(1+Assumptions!$L$40)^(-1*(G26-Q26))))/Assumptions!$L$40)-((AI26*(1-(1+Assumptions!$L$40)^(-1*(T26))))/Assumptions!$L$40)</f>
        <v>143415.84845679143</v>
      </c>
      <c r="AK26" s="148">
        <f>((AI26*(1-(1+Assumptions!$L$46)^(-1*(G26-Q26))))/Assumptions!$L$46)-((AI26*(1-(1+Assumptions!$L$46)^(-1*(T26))))/Assumptions!$L$46)</f>
        <v>242940.66273860683</v>
      </c>
      <c r="AL26" s="148">
        <f>IF(Q26&gt;Assumptions!$L$3,W26,0)</f>
        <v>242940.66273860683</v>
      </c>
      <c r="AM26" s="3"/>
      <c r="AN26" s="3"/>
      <c r="AO26" s="114"/>
      <c r="AP26" s="116"/>
      <c r="AQ26" s="114"/>
      <c r="AR26" s="116"/>
    </row>
    <row r="27" spans="1:44" x14ac:dyDescent="0.2">
      <c r="A27" s="3" t="s">
        <v>104</v>
      </c>
      <c r="B27" s="189">
        <f t="shared" si="3"/>
        <v>23</v>
      </c>
      <c r="D27" s="503" t="s">
        <v>355</v>
      </c>
      <c r="E27" s="255"/>
      <c r="F27" s="36" t="s">
        <v>6</v>
      </c>
      <c r="G27" s="5">
        <f>IF(F27="f",Assumptions!$E$39,Assumptions!$E$38)</f>
        <v>81.8</v>
      </c>
      <c r="H27" s="114">
        <v>16127</v>
      </c>
      <c r="I27" s="116">
        <v>22980</v>
      </c>
      <c r="J27" s="22"/>
      <c r="K27" s="22"/>
      <c r="L27" s="91">
        <f>(((H27+(Assumptions!$E$43*365))-I27))/365</f>
        <v>46.224657534246575</v>
      </c>
      <c r="M27" s="240"/>
      <c r="N27" s="125" t="s">
        <v>225</v>
      </c>
      <c r="O27" s="121">
        <f>IF($P27&gt;29.999,(VLOOKUP($N27,Assumptions!$B$24:$J$34,6,FALSE)),(VLOOKUP($N27,Assumptions!$B$24:$J$34,6,FALSE)/30*$P27))</f>
        <v>36000</v>
      </c>
      <c r="P27" s="7">
        <f t="shared" si="0"/>
        <v>38.778082191780825</v>
      </c>
      <c r="Q27" s="39">
        <f t="shared" si="1"/>
        <v>57.553424657534244</v>
      </c>
      <c r="R27" s="23"/>
      <c r="T27" s="81">
        <f>IF(Q27&lt;=Assumptions!$E$43,Assumptions!$E$43-Q27,Assumptions!$E$45)</f>
        <v>7.4465753424657564</v>
      </c>
      <c r="U27" s="191">
        <f t="shared" si="2"/>
        <v>38.778082191780825</v>
      </c>
      <c r="V27" s="277">
        <f>((O27*(1-(1+Assumptions!$G$40)^(-1*(G27-Q27))))/Assumptions!$G$40)-((O27*(1-(1+Assumptions!$G$40)^(-1*(T27))))/Assumptions!$G$40)</f>
        <v>161053.76604471033</v>
      </c>
      <c r="W27" s="277">
        <f>((O27*(1-(1+Assumptions!$G$46)^(-1*(G27-Q27))))/Assumptions!$G$46)-((O27*(1-(1+Assumptions!$G$46)^(-1*(T27))))/Assumptions!$G$46)</f>
        <v>240660.58568611156</v>
      </c>
      <c r="X27" s="121">
        <f>IF($P27&gt;29.999,(VLOOKUP($N27,Assumptions!$B$24:$J$34,7,FALSE)),(VLOOKUP($N27,Assumptions!$B$24:$J$34,7,FALSE)/30*$P27))</f>
        <v>28500</v>
      </c>
      <c r="Y27" s="121">
        <f>IF($P27&gt;29.999,(VLOOKUP($N27,Assumptions!$B$24:$J$34,8,FALSE)),(VLOOKUP($N27,Assumptions!$B$24:$J$34,8,FALSE)/30*$P27))</f>
        <v>36000</v>
      </c>
      <c r="Z27" s="121">
        <f>IF($P27&gt;29.999,(VLOOKUP($N27,Assumptions!$B$24:$J$34,9,FALSE)),(VLOOKUP($N27,Assumptions!$B$24:$J$34,9,FALSE)/30*$P27))</f>
        <v>28000</v>
      </c>
      <c r="AA27" s="148">
        <f>((X27*(1-(1+Assumptions!$H$40)^(-1*(G27-Q27))))/Assumptions!$H$40)-((X27*(1-(1+Assumptions!$H$40)^(-1*(T27))))/Assumptions!$H$40)</f>
        <v>127500.898118729</v>
      </c>
      <c r="AB27" s="148">
        <f>((Y27*(1-(1+Assumptions!$I$40)^(-1*(G27-Q27))))/Assumptions!$I$40)-((Y27*(1-(1+Assumptions!$I$40)^(-1*(T27))))/Assumptions!$I$40)</f>
        <v>161053.76604471033</v>
      </c>
      <c r="AC27" s="148">
        <f>((Z27*(1-(1+Assumptions!$J$40)^(-1*(G27-Q27))))/Assumptions!$J$40)-((Z27*(1-(1+Assumptions!$J$40)^(-1*(T27))))/Assumptions!$J$40)</f>
        <v>125264.04025699693</v>
      </c>
      <c r="AD27" s="148">
        <f>((X27*(1-(1+Assumptions!$H$46)^(-1*(G27-Q27))))/Assumptions!$H$46)-((X27*(1-(1+Assumptions!$H$46)^(-1*(T27))))/Assumptions!$H$46)</f>
        <v>190522.96366817167</v>
      </c>
      <c r="AE27" s="148">
        <f>((Y27*(1-(1+Assumptions!$I$46)^(-1*(G27-Q27))))/Assumptions!$I$46)-((Y27*(1-(1+Assumptions!$I$46)^(-1*(T27))))/Assumptions!$I$46)</f>
        <v>240660.58568611156</v>
      </c>
      <c r="AF27" s="148">
        <f>((Z27*(1-(1+Assumptions!$J$46)^(-1*(G27-Q27))))/Assumptions!$J$46)-((Z27*(1-(1+Assumptions!$J$46)^(-1*(T27))))/Assumptions!$J$46)</f>
        <v>187180.45553364232</v>
      </c>
      <c r="AG27" s="145">
        <v>37134</v>
      </c>
      <c r="AH27" s="148">
        <f>((AI27*(1-(1+Assumptions!$M$40)^(-1*(G27-Q27))))/Assumptions!$M$40)-((AI27*(1-(1+Assumptions!$M$40)^(-1*(T27))))/Assumptions!$M$40)</f>
        <v>260618.37339153682</v>
      </c>
      <c r="AI27" s="409">
        <f>IF(P27&gt;29.999,(VLOOKUP(N27,Assumptions!$B$24:$M$34,12,FALSE)),(VLOOKUP(N27,Assumptions!$B$24:$M$34,12,FALSE)/30*P27))</f>
        <v>36000</v>
      </c>
      <c r="AJ27" s="148">
        <f>((AI27*(1-(1+Assumptions!$L$40)^(-1*(G27-Q27))))/Assumptions!$L$40)-((AI27*(1-(1+Assumptions!$L$40)^(-1*(T27))))/Assumptions!$L$40)</f>
        <v>161053.76604471033</v>
      </c>
      <c r="AK27" s="148">
        <f>((AI27*(1-(1+Assumptions!$L$46)^(-1*(G27-Q27))))/Assumptions!$L$46)-((AI27*(1-(1+Assumptions!$L$46)^(-1*(T27))))/Assumptions!$L$46)</f>
        <v>240660.58568611156</v>
      </c>
      <c r="AL27" s="148">
        <f>IF(Q27&gt;Assumptions!$L$3,W27,0)</f>
        <v>240660.58568611156</v>
      </c>
      <c r="AM27" s="3"/>
      <c r="AN27" s="3"/>
      <c r="AO27" s="114"/>
      <c r="AP27" s="116"/>
      <c r="AQ27" s="114"/>
      <c r="AR27" s="116"/>
    </row>
    <row r="28" spans="1:44" x14ac:dyDescent="0.2">
      <c r="A28" s="3" t="s">
        <v>104</v>
      </c>
      <c r="B28" s="189">
        <f t="shared" si="3"/>
        <v>24</v>
      </c>
      <c r="D28" s="503" t="s">
        <v>356</v>
      </c>
      <c r="E28" s="255"/>
      <c r="F28" s="36" t="s">
        <v>6</v>
      </c>
      <c r="G28" s="5">
        <f>IF(F28="f",Assumptions!$E$39,Assumptions!$E$38)</f>
        <v>81.8</v>
      </c>
      <c r="H28" s="114">
        <v>17857</v>
      </c>
      <c r="I28" s="116">
        <v>26633</v>
      </c>
      <c r="J28" s="22"/>
      <c r="K28" s="22"/>
      <c r="L28" s="91">
        <f>(((H28+(Assumptions!$E$43*365))-I28))/365</f>
        <v>40.956164383561642</v>
      </c>
      <c r="M28" s="240"/>
      <c r="N28" s="125" t="s">
        <v>224</v>
      </c>
      <c r="O28" s="121">
        <f>IF($P28&gt;29.999,(VLOOKUP($N28,Assumptions!$B$24:$J$34,6,FALSE)),(VLOOKUP($N28,Assumptions!$B$24:$J$34,6,FALSE)/30*$P28))</f>
        <v>34523.835616438351</v>
      </c>
      <c r="P28" s="7">
        <f t="shared" si="0"/>
        <v>28.769863013698629</v>
      </c>
      <c r="Q28" s="39">
        <f t="shared" si="1"/>
        <v>52.813698630136983</v>
      </c>
      <c r="R28" s="23"/>
      <c r="T28" s="81">
        <f>IF(Q28&lt;=Assumptions!$E$43,Assumptions!$E$43-Q28,Assumptions!$E$45)</f>
        <v>12.186301369863017</v>
      </c>
      <c r="U28" s="191">
        <f t="shared" si="2"/>
        <v>28.769863013698629</v>
      </c>
      <c r="V28" s="277">
        <f>((O28*(1-(1+Assumptions!$G$40)^(-1*(G28-Q28))))/Assumptions!$G$40)-((O28*(1-(1+Assumptions!$G$40)^(-1*(T28))))/Assumptions!$G$40)</f>
        <v>102658.77499611914</v>
      </c>
      <c r="W28" s="277">
        <f>((O28*(1-(1+Assumptions!$G$46)^(-1*(G28-Q28))))/Assumptions!$G$46)-((O28*(1-(1+Assumptions!$G$46)^(-1*(T28))))/Assumptions!$G$46)</f>
        <v>174627.97465042199</v>
      </c>
      <c r="X28" s="121">
        <f>IF($P28&gt;29.999,(VLOOKUP($N28,Assumptions!$B$24:$J$34,7,FALSE)),(VLOOKUP($N28,Assumptions!$B$24:$J$34,7,FALSE)/30*$P28))</f>
        <v>23974.88584474886</v>
      </c>
      <c r="Y28" s="121">
        <f>IF($P28&gt;29.999,(VLOOKUP($N28,Assumptions!$B$24:$J$34,8,FALSE)),(VLOOKUP($N28,Assumptions!$B$24:$J$34,8,FALSE)/30*$P28))</f>
        <v>30687.853881278541</v>
      </c>
      <c r="Z28" s="121">
        <f>IF($P28&gt;29.999,(VLOOKUP($N28,Assumptions!$B$24:$J$34,9,FALSE)),(VLOOKUP($N28,Assumptions!$B$24:$J$34,9,FALSE)/30*$P28))</f>
        <v>23974.88584474886</v>
      </c>
      <c r="AA28" s="148">
        <f>((X28*(1-(1+Assumptions!$H$40)^(-1*(G28-Q28))))/Assumptions!$H$40)-((X28*(1-(1+Assumptions!$H$40)^(-1*(T28))))/Assumptions!$H$40)</f>
        <v>71290.815969527233</v>
      </c>
      <c r="AB28" s="148">
        <f>((Y28*(1-(1+Assumptions!$I$40)^(-1*(G28-Q28))))/Assumptions!$I$40)-((Y28*(1-(1+Assumptions!$I$40)^(-1*(T28))))/Assumptions!$I$40)</f>
        <v>91252.244440994837</v>
      </c>
      <c r="AC28" s="148">
        <f>((Z28*(1-(1+Assumptions!$J$40)^(-1*(G28-Q28))))/Assumptions!$J$40)-((Z28*(1-(1+Assumptions!$J$40)^(-1*(T28))))/Assumptions!$J$40)</f>
        <v>71290.815969527233</v>
      </c>
      <c r="AD28" s="148">
        <f>((X28*(1-(1+Assumptions!$H$46)^(-1*(G28-Q28))))/Assumptions!$H$46)-((X28*(1-(1+Assumptions!$H$46)^(-1*(T28))))/Assumptions!$H$46)</f>
        <v>121269.42684057084</v>
      </c>
      <c r="AE28" s="148">
        <f>((Y28*(1-(1+Assumptions!$I$46)^(-1*(G28-Q28))))/Assumptions!$I$46)-((Y28*(1-(1+Assumptions!$I$46)^(-1*(T28))))/Assumptions!$I$46)</f>
        <v>155224.86635593075</v>
      </c>
      <c r="AF28" s="148">
        <f>((Z28*(1-(1+Assumptions!$J$46)^(-1*(G28-Q28))))/Assumptions!$J$46)-((Z28*(1-(1+Assumptions!$J$46)^(-1*(T28))))/Assumptions!$J$46)</f>
        <v>121269.42684057084</v>
      </c>
      <c r="AG28" s="145">
        <v>37134</v>
      </c>
      <c r="AH28" s="148">
        <f>((AI28*(1-(1+Assumptions!$M$40)^(-1*(G28-Q28))))/Assumptions!$M$40)-((AI28*(1-(1+Assumptions!$M$40)^(-1*(T28))))/Assumptions!$M$40)</f>
        <v>193914.94485050219</v>
      </c>
      <c r="AI28" s="409">
        <f>IF(P28&gt;29.999,(VLOOKUP(N28,Assumptions!$B$24:$M$34,12,FALSE)),(VLOOKUP(N28,Assumptions!$B$24:$M$34,12,FALSE)/30*P28))</f>
        <v>34523.835616438351</v>
      </c>
      <c r="AJ28" s="148">
        <f>((AI28*(1-(1+Assumptions!$L$40)^(-1*(G28-Q28))))/Assumptions!$L$40)-((AI28*(1-(1+Assumptions!$L$40)^(-1*(T28))))/Assumptions!$L$40)</f>
        <v>102658.77499611914</v>
      </c>
      <c r="AK28" s="148">
        <f>((AI28*(1-(1+Assumptions!$L$46)^(-1*(G28-Q28))))/Assumptions!$L$46)-((AI28*(1-(1+Assumptions!$L$46)^(-1*(T28))))/Assumptions!$L$46)</f>
        <v>174627.97465042199</v>
      </c>
      <c r="AL28" s="148">
        <f>IF(Q28&gt;Assumptions!$L$3,W28,0)</f>
        <v>0</v>
      </c>
      <c r="AM28" s="3"/>
      <c r="AN28" s="3"/>
      <c r="AO28" s="114"/>
      <c r="AP28" s="116"/>
      <c r="AQ28" s="114"/>
      <c r="AR28" s="116"/>
    </row>
    <row r="29" spans="1:44" x14ac:dyDescent="0.2">
      <c r="A29" s="3" t="s">
        <v>104</v>
      </c>
      <c r="B29" s="189">
        <f t="shared" si="3"/>
        <v>25</v>
      </c>
      <c r="D29" s="503" t="s">
        <v>357</v>
      </c>
      <c r="E29" s="255"/>
      <c r="F29" s="36" t="s">
        <v>6</v>
      </c>
      <c r="G29" s="5">
        <f>IF(F29="f",Assumptions!$E$39,Assumptions!$E$38)</f>
        <v>81.8</v>
      </c>
      <c r="H29" s="114">
        <v>19049</v>
      </c>
      <c r="I29" s="116">
        <v>28157</v>
      </c>
      <c r="J29" s="22"/>
      <c r="K29" s="22"/>
      <c r="L29" s="91">
        <f>(((H29+(Assumptions!$E$43*365))-I29))/365</f>
        <v>40.046575342465751</v>
      </c>
      <c r="M29" s="240"/>
      <c r="N29" s="125" t="s">
        <v>224</v>
      </c>
      <c r="O29" s="121">
        <f>IF($P29&gt;29.999,(VLOOKUP($N29,Assumptions!$B$24:$J$34,6,FALSE)),(VLOOKUP($N29,Assumptions!$B$24:$J$34,6,FALSE)/30*$P29))</f>
        <v>29513.424657534248</v>
      </c>
      <c r="P29" s="7">
        <f t="shared" si="0"/>
        <v>24.594520547945205</v>
      </c>
      <c r="Q29" s="39">
        <f t="shared" si="1"/>
        <v>49.547945205479451</v>
      </c>
      <c r="R29" s="23"/>
      <c r="T29" s="81">
        <f>IF(Q29&lt;=Assumptions!$E$43,Assumptions!$E$43-Q29,Assumptions!$E$45)</f>
        <v>15.452054794520549</v>
      </c>
      <c r="U29" s="191">
        <f t="shared" si="2"/>
        <v>24.594520547945205</v>
      </c>
      <c r="V29" s="277">
        <f>((O29*(1-(1+Assumptions!$G$40)^(-1*(G29-Q29))))/Assumptions!$G$40)-((O29*(1-(1+Assumptions!$G$40)^(-1*(T29))))/Assumptions!$G$40)</f>
        <v>66232.466805841512</v>
      </c>
      <c r="W29" s="277">
        <f>((O29*(1-(1+Assumptions!$G$46)^(-1*(G29-Q29))))/Assumptions!$G$46)-((O29*(1-(1+Assumptions!$G$46)^(-1*(T29))))/Assumptions!$G$46)</f>
        <v>123188.19282295014</v>
      </c>
      <c r="X29" s="121">
        <f>IF($P29&gt;29.999,(VLOOKUP($N29,Assumptions!$B$24:$J$34,7,FALSE)),(VLOOKUP($N29,Assumptions!$B$24:$J$34,7,FALSE)/30*$P29))</f>
        <v>20495.433789954339</v>
      </c>
      <c r="Y29" s="121">
        <f>IF($P29&gt;29.999,(VLOOKUP($N29,Assumptions!$B$24:$J$34,8,FALSE)),(VLOOKUP($N29,Assumptions!$B$24:$J$34,8,FALSE)/30*$P29))</f>
        <v>26234.155251141554</v>
      </c>
      <c r="Z29" s="121">
        <f>IF($P29&gt;29.999,(VLOOKUP($N29,Assumptions!$B$24:$J$34,9,FALSE)),(VLOOKUP($N29,Assumptions!$B$24:$J$34,9,FALSE)/30*$P29))</f>
        <v>20495.433789954339</v>
      </c>
      <c r="AA29" s="148">
        <f>((X29*(1-(1+Assumptions!$H$40)^(-1*(G29-Q29))))/Assumptions!$H$40)-((X29*(1-(1+Assumptions!$H$40)^(-1*(T29))))/Assumptions!$H$40)</f>
        <v>45994.768615167704</v>
      </c>
      <c r="AB29" s="148">
        <f>((Y29*(1-(1+Assumptions!$I$40)^(-1*(G29-Q29))))/Assumptions!$I$40)-((Y29*(1-(1+Assumptions!$I$40)^(-1*(T29))))/Assumptions!$I$40)</f>
        <v>58873.303827414667</v>
      </c>
      <c r="AC29" s="148">
        <f>((Z29*(1-(1+Assumptions!$J$40)^(-1*(G29-Q29))))/Assumptions!$J$40)-((Z29*(1-(1+Assumptions!$J$40)^(-1*(T29))))/Assumptions!$J$40)</f>
        <v>45994.768615167704</v>
      </c>
      <c r="AD29" s="148">
        <f>((X29*(1-(1+Assumptions!$H$46)^(-1*(G29-Q29))))/Assumptions!$H$46)-((X29*(1-(1+Assumptions!$H$46)^(-1*(T29))))/Assumptions!$H$46)</f>
        <v>85547.356127048668</v>
      </c>
      <c r="AE29" s="148">
        <f>((Y29*(1-(1+Assumptions!$I$46)^(-1*(G29-Q29))))/Assumptions!$I$46)-((Y29*(1-(1+Assumptions!$I$46)^(-1*(T29))))/Assumptions!$I$46)</f>
        <v>109500.61584262227</v>
      </c>
      <c r="AF29" s="148">
        <f>((Z29*(1-(1+Assumptions!$J$46)^(-1*(G29-Q29))))/Assumptions!$J$46)-((Z29*(1-(1+Assumptions!$J$46)^(-1*(T29))))/Assumptions!$J$46)</f>
        <v>85547.356127048668</v>
      </c>
      <c r="AG29" s="145">
        <v>37134</v>
      </c>
      <c r="AH29" s="148">
        <f>((AI29*(1-(1+Assumptions!$M$40)^(-1*(G29-Q29))))/Assumptions!$M$40)-((AI29*(1-(1+Assumptions!$M$40)^(-1*(T29))))/Assumptions!$M$40)</f>
        <v>139179.42824969738</v>
      </c>
      <c r="AI29" s="409">
        <f>IF(P29&gt;29.999,(VLOOKUP(N29,Assumptions!$B$24:$M$34,12,FALSE)),(VLOOKUP(N29,Assumptions!$B$24:$M$34,12,FALSE)/30*P29))</f>
        <v>29513.424657534248</v>
      </c>
      <c r="AJ29" s="148">
        <f>((AI29*(1-(1+Assumptions!$L$40)^(-1*(G29-Q29))))/Assumptions!$L$40)-((AI29*(1-(1+Assumptions!$L$40)^(-1*(T29))))/Assumptions!$L$40)</f>
        <v>66232.466805841512</v>
      </c>
      <c r="AK29" s="148">
        <f>((AI29*(1-(1+Assumptions!$L$46)^(-1*(G29-Q29))))/Assumptions!$L$46)-((AI29*(1-(1+Assumptions!$L$46)^(-1*(T29))))/Assumptions!$L$46)</f>
        <v>123188.19282295014</v>
      </c>
      <c r="AL29" s="148">
        <f>IF(Q29&gt;Assumptions!$L$3,W29,0)</f>
        <v>0</v>
      </c>
      <c r="AM29" s="3"/>
      <c r="AN29" s="3"/>
      <c r="AO29" s="114"/>
      <c r="AP29" s="116"/>
      <c r="AQ29" s="114"/>
      <c r="AR29" s="116"/>
    </row>
    <row r="30" spans="1:44" x14ac:dyDescent="0.2">
      <c r="A30" s="3" t="s">
        <v>104</v>
      </c>
      <c r="B30" s="189">
        <f t="shared" si="3"/>
        <v>26</v>
      </c>
      <c r="D30" s="503" t="s">
        <v>358</v>
      </c>
      <c r="E30" s="255"/>
      <c r="F30" s="36" t="s">
        <v>5</v>
      </c>
      <c r="G30" s="5">
        <f>IF(F30="f",Assumptions!$E$39,Assumptions!$E$38)</f>
        <v>89.3</v>
      </c>
      <c r="H30" s="114">
        <v>22121</v>
      </c>
      <c r="I30" s="116">
        <v>34672</v>
      </c>
      <c r="J30" s="22"/>
      <c r="K30" s="22"/>
      <c r="L30" s="91">
        <f>(((H30+(Assumptions!$E$43*365))-I30))/365</f>
        <v>30.613698630136987</v>
      </c>
      <c r="M30" s="240"/>
      <c r="N30" s="125" t="s">
        <v>211</v>
      </c>
      <c r="O30" s="121">
        <f>IF($P30&gt;29.999,(VLOOKUP($N30,Assumptions!$B$24:$J$34,6,FALSE)),(VLOOKUP($N30,Assumptions!$B$24:$J$34,6,FALSE)/30*$P30))</f>
        <v>8094.2465753424649</v>
      </c>
      <c r="P30" s="7">
        <f t="shared" si="0"/>
        <v>6.7452054794520544</v>
      </c>
      <c r="Q30" s="39">
        <f t="shared" si="1"/>
        <v>41.131506849315066</v>
      </c>
      <c r="R30" s="23"/>
      <c r="T30" s="81">
        <f>IF(Q30&lt;=Assumptions!$E$43,Assumptions!$E$43-Q30,Assumptions!$E$45)</f>
        <v>23.868493150684934</v>
      </c>
      <c r="U30" s="191">
        <f t="shared" si="2"/>
        <v>6.7452054794520544</v>
      </c>
      <c r="V30" s="277">
        <f>((O30*(1-(1+Assumptions!$G$40)^(-1*(G30-Q30))))/Assumptions!$G$40)-((O30*(1-(1+Assumptions!$G$40)^(-1*(T30))))/Assumptions!$G$40)</f>
        <v>10081.631850471851</v>
      </c>
      <c r="W30" s="277">
        <f>((O30*(1-(1+Assumptions!$G$46)^(-1*(G30-Q30))))/Assumptions!$G$46)-((O30*(1-(1+Assumptions!$G$46)^(-1*(T30))))/Assumptions!$G$46)</f>
        <v>24945.39520845018</v>
      </c>
      <c r="X30" s="121">
        <f>IF($P30&gt;29.999,(VLOOKUP($N30,Assumptions!$B$24:$J$34,7,FALSE)),(VLOOKUP($N30,Assumptions!$B$24:$J$34,7,FALSE)/30*$P30))</f>
        <v>2248.4018264840179</v>
      </c>
      <c r="Y30" s="121">
        <f>IF($P30&gt;29.999,(VLOOKUP($N30,Assumptions!$B$24:$J$34,8,FALSE)),(VLOOKUP($N30,Assumptions!$B$24:$J$34,8,FALSE)/30*$P30))</f>
        <v>2698.0821917808216</v>
      </c>
      <c r="Z30" s="121">
        <f>IF($P30&gt;29.999,(VLOOKUP($N30,Assumptions!$B$24:$J$34,9,FALSE)),(VLOOKUP($N30,Assumptions!$B$24:$J$34,9,FALSE)/30*$P30))</f>
        <v>2248.4018264840179</v>
      </c>
      <c r="AA30" s="148">
        <f>((X30*(1-(1+Assumptions!$H$40)^(-1*(G30-Q30))))/Assumptions!$H$40)-((X30*(1-(1+Assumptions!$H$40)^(-1*(T30))))/Assumptions!$H$40)</f>
        <v>2800.4532917977413</v>
      </c>
      <c r="AB30" s="148">
        <f>((Y30*(1-(1+Assumptions!$I$40)^(-1*(G30-Q30))))/Assumptions!$I$40)-((Y30*(1-(1+Assumptions!$I$40)^(-1*(T30))))/Assumptions!$I$40)</f>
        <v>3360.5439501572837</v>
      </c>
      <c r="AC30" s="148">
        <f>((Z30*(1-(1+Assumptions!$J$40)^(-1*(G30-Q30))))/Assumptions!$J$40)-((Z30*(1-(1+Assumptions!$J$40)^(-1*(T30))))/Assumptions!$J$40)</f>
        <v>2800.4532917977413</v>
      </c>
      <c r="AD30" s="148">
        <f>((X30*(1-(1+Assumptions!$H$46)^(-1*(G30-Q30))))/Assumptions!$H$46)-((X30*(1-(1+Assumptions!$H$46)^(-1*(T30))))/Assumptions!$H$46)</f>
        <v>6929.2764467917186</v>
      </c>
      <c r="AE30" s="148">
        <f>((Y30*(1-(1+Assumptions!$I$46)^(-1*(G30-Q30))))/Assumptions!$I$46)-((Y30*(1-(1+Assumptions!$I$46)^(-1*(T30))))/Assumptions!$I$46)</f>
        <v>8315.1317361500624</v>
      </c>
      <c r="AF30" s="148">
        <f>((Z30*(1-(1+Assumptions!$J$46)^(-1*(G30-Q30))))/Assumptions!$J$46)-((Z30*(1-(1+Assumptions!$J$46)^(-1*(T30))))/Assumptions!$J$46)</f>
        <v>6929.2764467917186</v>
      </c>
      <c r="AG30" s="145">
        <v>37134</v>
      </c>
      <c r="AH30" s="148">
        <f>((AI30*(1-(1+Assumptions!$M$40)^(-1*(G30-Q30))))/Assumptions!$M$40)-((AI30*(1-(1+Assumptions!$M$40)^(-1*(T30))))/Assumptions!$M$40)</f>
        <v>29839.79089619052</v>
      </c>
      <c r="AI30" s="409">
        <f>IF(P30&gt;29.999,(VLOOKUP(N30,Assumptions!$B$24:$M$34,12,FALSE)),(VLOOKUP(N30,Assumptions!$B$24:$M$34,12,FALSE)/30*P30))</f>
        <v>8094.2465753424649</v>
      </c>
      <c r="AJ30" s="148">
        <f>((AI30*(1-(1+Assumptions!$L$40)^(-1*(G30-Q30))))/Assumptions!$L$40)-((AI30*(1-(1+Assumptions!$L$40)^(-1*(T30))))/Assumptions!$L$40)</f>
        <v>10081.631850471851</v>
      </c>
      <c r="AK30" s="148">
        <f>((AI30*(1-(1+Assumptions!$L$46)^(-1*(G30-Q30))))/Assumptions!$L$46)-((AI30*(1-(1+Assumptions!$L$46)^(-1*(T30))))/Assumptions!$L$46)</f>
        <v>24945.39520845018</v>
      </c>
      <c r="AL30" s="148">
        <f>IF(Q30&gt;Assumptions!$L$3,W30,0)</f>
        <v>0</v>
      </c>
      <c r="AM30" s="3"/>
      <c r="AN30" s="3"/>
      <c r="AO30" s="114"/>
      <c r="AP30" s="116"/>
      <c r="AQ30" s="114"/>
      <c r="AR30" s="116"/>
    </row>
    <row r="31" spans="1:44" x14ac:dyDescent="0.2">
      <c r="A31" s="3" t="s">
        <v>104</v>
      </c>
      <c r="B31" s="189">
        <f t="shared" si="3"/>
        <v>27</v>
      </c>
      <c r="D31" s="503" t="s">
        <v>359</v>
      </c>
      <c r="E31" s="255"/>
      <c r="F31" s="36" t="s">
        <v>6</v>
      </c>
      <c r="G31" s="5">
        <f>IF(F31="f",Assumptions!$E$39,Assumptions!$E$38)</f>
        <v>81.8</v>
      </c>
      <c r="H31" s="114">
        <v>16655</v>
      </c>
      <c r="I31" s="116">
        <v>26944</v>
      </c>
      <c r="J31" s="22"/>
      <c r="K31" s="22"/>
      <c r="L31" s="91">
        <f>(((H31+(Assumptions!$E$43*365))-I31))/365</f>
        <v>36.81095890410959</v>
      </c>
      <c r="M31" s="240"/>
      <c r="N31" s="125" t="s">
        <v>225</v>
      </c>
      <c r="O31" s="121">
        <f>IF($P31&gt;29.999,(VLOOKUP($N31,Assumptions!$B$24:$J$34,6,FALSE)),(VLOOKUP($N31,Assumptions!$B$24:$J$34,6,FALSE)/30*$P31))</f>
        <v>33501.369863013701</v>
      </c>
      <c r="P31" s="7">
        <f t="shared" si="0"/>
        <v>27.917808219178081</v>
      </c>
      <c r="Q31" s="39">
        <f t="shared" si="1"/>
        <v>56.106849315068494</v>
      </c>
      <c r="R31" s="23"/>
      <c r="T31" s="81">
        <f>IF(Q31&lt;=Assumptions!$E$43,Assumptions!$E$43-Q31,Assumptions!$E$45)</f>
        <v>8.8931506849315056</v>
      </c>
      <c r="U31" s="191">
        <f t="shared" si="2"/>
        <v>27.917808219178081</v>
      </c>
      <c r="V31" s="277">
        <f>((O31*(1-(1+Assumptions!$G$40)^(-1*(G31-Q31))))/Assumptions!$G$40)-((O31*(1-(1+Assumptions!$G$40)^(-1*(T31))))/Assumptions!$G$40)</f>
        <v>132309.40014600899</v>
      </c>
      <c r="W31" s="277">
        <f>((O31*(1-(1+Assumptions!$G$46)^(-1*(G31-Q31))))/Assumptions!$G$46)-((O31*(1-(1+Assumptions!$G$46)^(-1*(T31))))/Assumptions!$G$46)</f>
        <v>205685.03107344799</v>
      </c>
      <c r="X31" s="121">
        <f>IF($P31&gt;29.999,(VLOOKUP($N31,Assumptions!$B$24:$J$34,7,FALSE)),(VLOOKUP($N31,Assumptions!$B$24:$J$34,7,FALSE)/30*$P31))</f>
        <v>26521.917808219176</v>
      </c>
      <c r="Y31" s="121">
        <f>IF($P31&gt;29.999,(VLOOKUP($N31,Assumptions!$B$24:$J$34,8,FALSE)),(VLOOKUP($N31,Assumptions!$B$24:$J$34,8,FALSE)/30*$P31))</f>
        <v>33501.369863013701</v>
      </c>
      <c r="Z31" s="121">
        <f>IF($P31&gt;29.999,(VLOOKUP($N31,Assumptions!$B$24:$J$34,9,FALSE)),(VLOOKUP($N31,Assumptions!$B$24:$J$34,9,FALSE)/30*$P31))</f>
        <v>26056.621004566208</v>
      </c>
      <c r="AA31" s="148">
        <f>((X31*(1-(1+Assumptions!$H$40)^(-1*(G31-Q31))))/Assumptions!$H$40)-((X31*(1-(1+Assumptions!$H$40)^(-1*(T31))))/Assumptions!$H$40)</f>
        <v>104744.94178225702</v>
      </c>
      <c r="AB31" s="148">
        <f>((Y31*(1-(1+Assumptions!$I$40)^(-1*(G31-Q31))))/Assumptions!$I$40)-((Y31*(1-(1+Assumptions!$I$40)^(-1*(T31))))/Assumptions!$I$40)</f>
        <v>132309.40014600899</v>
      </c>
      <c r="AC31" s="148">
        <f>((Z31*(1-(1+Assumptions!$J$40)^(-1*(G31-Q31))))/Assumptions!$J$40)-((Z31*(1-(1+Assumptions!$J$40)^(-1*(T31))))/Assumptions!$J$40)</f>
        <v>102907.31122467358</v>
      </c>
      <c r="AD31" s="148">
        <f>((X31*(1-(1+Assumptions!$H$46)^(-1*(G31-Q31))))/Assumptions!$H$46)-((X31*(1-(1+Assumptions!$H$46)^(-1*(T31))))/Assumptions!$H$46)</f>
        <v>162833.98293314624</v>
      </c>
      <c r="AE31" s="148">
        <f>((Y31*(1-(1+Assumptions!$I$46)^(-1*(G31-Q31))))/Assumptions!$I$46)-((Y31*(1-(1+Assumptions!$I$46)^(-1*(T31))))/Assumptions!$I$46)</f>
        <v>205685.03107344799</v>
      </c>
      <c r="AF31" s="148">
        <f>((Z31*(1-(1+Assumptions!$J$46)^(-1*(G31-Q31))))/Assumptions!$J$46)-((Z31*(1-(1+Assumptions!$J$46)^(-1*(T31))))/Assumptions!$J$46)</f>
        <v>159977.24639045954</v>
      </c>
      <c r="AG31" s="145">
        <v>37134</v>
      </c>
      <c r="AH31" s="148">
        <f>((AI31*(1-(1+Assumptions!$M$40)^(-1*(G31-Q31))))/Assumptions!$M$40)-((AI31*(1-(1+Assumptions!$M$40)^(-1*(T31))))/Assumptions!$M$40)</f>
        <v>224454.67733611036</v>
      </c>
      <c r="AI31" s="409">
        <f>IF(P31&gt;29.999,(VLOOKUP(N31,Assumptions!$B$24:$M$34,12,FALSE)),(VLOOKUP(N31,Assumptions!$B$24:$M$34,12,FALSE)/30*P31))</f>
        <v>33501.369863013701</v>
      </c>
      <c r="AJ31" s="148">
        <f>((AI31*(1-(1+Assumptions!$L$40)^(-1*(G31-Q31))))/Assumptions!$L$40)-((AI31*(1-(1+Assumptions!$L$40)^(-1*(T31))))/Assumptions!$L$40)</f>
        <v>132309.40014600899</v>
      </c>
      <c r="AK31" s="148">
        <f>((AI31*(1-(1+Assumptions!$L$46)^(-1*(G31-Q31))))/Assumptions!$L$46)-((AI31*(1-(1+Assumptions!$L$46)^(-1*(T31))))/Assumptions!$L$46)</f>
        <v>205685.03107344799</v>
      </c>
      <c r="AL31" s="148">
        <f>IF(Q31&gt;Assumptions!$L$3,W31,0)</f>
        <v>205685.03107344799</v>
      </c>
      <c r="AM31" s="3"/>
      <c r="AN31" s="3"/>
      <c r="AO31" s="114"/>
      <c r="AP31" s="116"/>
      <c r="AQ31" s="114"/>
      <c r="AR31" s="116"/>
    </row>
    <row r="32" spans="1:44" x14ac:dyDescent="0.2">
      <c r="A32" s="3" t="s">
        <v>104</v>
      </c>
      <c r="B32" s="189">
        <f t="shared" si="3"/>
        <v>28</v>
      </c>
      <c r="D32" s="503" t="s">
        <v>360</v>
      </c>
      <c r="E32" s="255"/>
      <c r="F32" s="36" t="s">
        <v>6</v>
      </c>
      <c r="G32" s="5">
        <f>IF(F32="f",Assumptions!$E$39,Assumptions!$E$38)</f>
        <v>81.8</v>
      </c>
      <c r="H32" s="114">
        <v>21914</v>
      </c>
      <c r="I32" s="116">
        <v>33573</v>
      </c>
      <c r="J32" s="22"/>
      <c r="K32" s="22"/>
      <c r="L32" s="91">
        <f>(((H32+(Assumptions!$E$43*365))-I32))/365</f>
        <v>33.057534246575344</v>
      </c>
      <c r="M32" s="240"/>
      <c r="N32" s="125" t="s">
        <v>211</v>
      </c>
      <c r="O32" s="121">
        <f>IF($P32&gt;29.999,(VLOOKUP($N32,Assumptions!$B$24:$J$34,6,FALSE)),(VLOOKUP($N32,Assumptions!$B$24:$J$34,6,FALSE)/30*$P32))</f>
        <v>11707.397260273972</v>
      </c>
      <c r="P32" s="7">
        <f t="shared" si="0"/>
        <v>9.7561643835616429</v>
      </c>
      <c r="Q32" s="39">
        <f t="shared" si="1"/>
        <v>41.698630136986303</v>
      </c>
      <c r="R32" s="23"/>
      <c r="T32" s="81">
        <f>IF(Q32&lt;=Assumptions!$E$43,Assumptions!$E$43-Q32,Assumptions!$E$45)</f>
        <v>23.301369863013697</v>
      </c>
      <c r="U32" s="191">
        <f t="shared" si="2"/>
        <v>9.7561643835616429</v>
      </c>
      <c r="V32" s="277">
        <f>((O32*(1-(1+Assumptions!$G$40)^(-1*(G32-Q32))))/Assumptions!$G$40)-((O32*(1-(1+Assumptions!$G$40)^(-1*(T32))))/Assumptions!$G$40)</f>
        <v>13357.934350897704</v>
      </c>
      <c r="W32" s="277">
        <f>((O32*(1-(1+Assumptions!$G$46)^(-1*(G32-Q32))))/Assumptions!$G$46)-((O32*(1-(1+Assumptions!$G$46)^(-1*(T32))))/Assumptions!$G$46)</f>
        <v>30792.652072452474</v>
      </c>
      <c r="X32" s="121">
        <f>IF($P32&gt;29.999,(VLOOKUP($N32,Assumptions!$B$24:$J$34,7,FALSE)),(VLOOKUP($N32,Assumptions!$B$24:$J$34,7,FALSE)/30*$P32))</f>
        <v>3252.0547945205476</v>
      </c>
      <c r="Y32" s="121">
        <f>IF($P32&gt;29.999,(VLOOKUP($N32,Assumptions!$B$24:$J$34,8,FALSE)),(VLOOKUP($N32,Assumptions!$B$24:$J$34,8,FALSE)/30*$P32))</f>
        <v>3902.4657534246571</v>
      </c>
      <c r="Z32" s="121">
        <f>IF($P32&gt;29.999,(VLOOKUP($N32,Assumptions!$B$24:$J$34,9,FALSE)),(VLOOKUP($N32,Assumptions!$B$24:$J$34,9,FALSE)/30*$P32))</f>
        <v>3252.0547945205476</v>
      </c>
      <c r="AA32" s="148">
        <f>((X32*(1-(1+Assumptions!$H$40)^(-1*(G32-Q32))))/Assumptions!$H$40)-((X32*(1-(1+Assumptions!$H$40)^(-1*(T32))))/Assumptions!$H$40)</f>
        <v>3710.5373196938017</v>
      </c>
      <c r="AB32" s="148">
        <f>((Y32*(1-(1+Assumptions!$I$40)^(-1*(G32-Q32))))/Assumptions!$I$40)-((Y32*(1-(1+Assumptions!$I$40)^(-1*(T32))))/Assumptions!$I$40)</f>
        <v>4452.6447836325606</v>
      </c>
      <c r="AC32" s="148">
        <f>((Z32*(1-(1+Assumptions!$J$40)^(-1*(G32-Q32))))/Assumptions!$J$40)-((Z32*(1-(1+Assumptions!$J$40)^(-1*(T32))))/Assumptions!$J$40)</f>
        <v>3710.5373196938017</v>
      </c>
      <c r="AD32" s="148">
        <f>((X32*(1-(1+Assumptions!$H$46)^(-1*(G32-Q32))))/Assumptions!$H$46)-((X32*(1-(1+Assumptions!$H$46)^(-1*(T32))))/Assumptions!$H$46)</f>
        <v>8553.5144645701439</v>
      </c>
      <c r="AE32" s="148">
        <f>((Y32*(1-(1+Assumptions!$I$46)^(-1*(G32-Q32))))/Assumptions!$I$46)-((Y32*(1-(1+Assumptions!$I$46)^(-1*(T32))))/Assumptions!$I$46)</f>
        <v>10264.217357484165</v>
      </c>
      <c r="AF32" s="148">
        <f>((Z32*(1-(1+Assumptions!$J$46)^(-1*(G32-Q32))))/Assumptions!$J$46)-((Z32*(1-(1+Assumptions!$J$46)^(-1*(T32))))/Assumptions!$J$46)</f>
        <v>8553.5144645701439</v>
      </c>
      <c r="AG32" s="145">
        <v>37134</v>
      </c>
      <c r="AH32" s="148">
        <f>((AI32*(1-(1+Assumptions!$M$40)^(-1*(G32-Q32))))/Assumptions!$M$40)-((AI32*(1-(1+Assumptions!$M$40)^(-1*(T32))))/Assumptions!$M$40)</f>
        <v>36266.021508603211</v>
      </c>
      <c r="AI32" s="409">
        <f>IF(P32&gt;29.999,(VLOOKUP(N32,Assumptions!$B$24:$M$34,12,FALSE)),(VLOOKUP(N32,Assumptions!$B$24:$M$34,12,FALSE)/30*P32))</f>
        <v>11707.397260273972</v>
      </c>
      <c r="AJ32" s="148">
        <f>((AI32*(1-(1+Assumptions!$L$40)^(-1*(G32-Q32))))/Assumptions!$L$40)-((AI32*(1-(1+Assumptions!$L$40)^(-1*(T32))))/Assumptions!$L$40)</f>
        <v>13357.934350897704</v>
      </c>
      <c r="AK32" s="148">
        <f>((AI32*(1-(1+Assumptions!$L$46)^(-1*(G32-Q32))))/Assumptions!$L$46)-((AI32*(1-(1+Assumptions!$L$46)^(-1*(T32))))/Assumptions!$L$46)</f>
        <v>30792.652072452474</v>
      </c>
      <c r="AL32" s="148">
        <f>IF(Q32&gt;Assumptions!$L$3,W32,0)</f>
        <v>0</v>
      </c>
      <c r="AM32" s="3"/>
      <c r="AN32" s="3"/>
      <c r="AO32" s="114"/>
      <c r="AP32" s="116"/>
      <c r="AQ32" s="114"/>
      <c r="AR32" s="116"/>
    </row>
    <row r="33" spans="1:44" x14ac:dyDescent="0.2">
      <c r="A33" s="3" t="s">
        <v>104</v>
      </c>
      <c r="B33" s="189">
        <f t="shared" si="3"/>
        <v>29</v>
      </c>
      <c r="D33" s="503" t="s">
        <v>361</v>
      </c>
      <c r="E33" s="255"/>
      <c r="F33" s="36" t="s">
        <v>5</v>
      </c>
      <c r="G33" s="5">
        <f>IF(F33="f",Assumptions!$E$39,Assumptions!$E$38)</f>
        <v>89.3</v>
      </c>
      <c r="H33" s="114">
        <v>23771</v>
      </c>
      <c r="I33" s="116">
        <v>33944</v>
      </c>
      <c r="J33" s="22"/>
      <c r="K33" s="22"/>
      <c r="L33" s="91">
        <f>(((H33+(Assumptions!$E$43*365))-I33))/365</f>
        <v>37.128767123287673</v>
      </c>
      <c r="M33" s="240"/>
      <c r="N33" s="125" t="s">
        <v>222</v>
      </c>
      <c r="O33" s="121">
        <f>IF($P33&gt;29.999,(VLOOKUP($N33,Assumptions!$B$24:$J$34,6,FALSE)),(VLOOKUP($N33,Assumptions!$B$24:$J$34,6,FALSE)/30*$P33))</f>
        <v>10487.671232876713</v>
      </c>
      <c r="P33" s="7">
        <f t="shared" si="0"/>
        <v>8.7397260273972606</v>
      </c>
      <c r="Q33" s="39">
        <f t="shared" si="1"/>
        <v>36.610958904109587</v>
      </c>
      <c r="R33" s="23"/>
      <c r="T33" s="81">
        <f>IF(Q33&lt;=Assumptions!$E$43,Assumptions!$E$43-Q33,Assumptions!$E$45)</f>
        <v>28.389041095890413</v>
      </c>
      <c r="U33" s="191">
        <f t="shared" si="2"/>
        <v>8.7397260273972606</v>
      </c>
      <c r="V33" s="277">
        <f>((O33*(1-(1+Assumptions!$G$40)^(-1*(G33-Q33))))/Assumptions!$G$40)-((O33*(1-(1+Assumptions!$G$40)^(-1*(T33))))/Assumptions!$G$40)</f>
        <v>8848.0015577587183</v>
      </c>
      <c r="W33" s="277">
        <f>((O33*(1-(1+Assumptions!$G$46)^(-1*(G33-Q33))))/Assumptions!$G$46)-((O33*(1-(1+Assumptions!$G$46)^(-1*(T33))))/Assumptions!$G$46)</f>
        <v>24773.404132657364</v>
      </c>
      <c r="X33" s="121">
        <f>IF($P33&gt;29.999,(VLOOKUP($N33,Assumptions!$B$24:$J$34,7,FALSE)),(VLOOKUP($N33,Assumptions!$B$24:$J$34,7,FALSE)/30*$P33))</f>
        <v>2039.2694063926942</v>
      </c>
      <c r="Y33" s="121">
        <f>IF($P33&gt;29.999,(VLOOKUP($N33,Assumptions!$B$24:$J$34,8,FALSE)),(VLOOKUP($N33,Assumptions!$B$24:$J$34,8,FALSE)/30*$P33))</f>
        <v>2330.5936073059365</v>
      </c>
      <c r="Z33" s="121">
        <f>IF($P33&gt;29.999,(VLOOKUP($N33,Assumptions!$B$24:$J$34,9,FALSE)),(VLOOKUP($N33,Assumptions!$B$24:$J$34,9,FALSE)/30*$P33))</f>
        <v>2039.2694063926942</v>
      </c>
      <c r="AA33" s="148">
        <f>((X33*(1-(1+Assumptions!$H$40)^(-1*(G33-Q33))))/Assumptions!$H$40)-((X33*(1-(1+Assumptions!$H$40)^(-1*(T33))))/Assumptions!$H$40)</f>
        <v>1720.4447473419787</v>
      </c>
      <c r="AB33" s="148">
        <f>((Y33*(1-(1+Assumptions!$I$40)^(-1*(G33-Q33))))/Assumptions!$I$40)-((Y33*(1-(1+Assumptions!$I$40)^(-1*(T33))))/Assumptions!$I$40)</f>
        <v>1966.2225683908291</v>
      </c>
      <c r="AC33" s="148">
        <f>((Z33*(1-(1+Assumptions!$J$40)^(-1*(G33-Q33))))/Assumptions!$J$40)-((Z33*(1-(1+Assumptions!$J$40)^(-1*(T33))))/Assumptions!$J$40)</f>
        <v>1720.4447473419787</v>
      </c>
      <c r="AD33" s="148">
        <f>((X33*(1-(1+Assumptions!$H$46)^(-1*(G33-Q33))))/Assumptions!$H$46)-((X33*(1-(1+Assumptions!$H$46)^(-1*(T33))))/Assumptions!$H$46)</f>
        <v>4817.0508035722669</v>
      </c>
      <c r="AE33" s="148">
        <f>((Y33*(1-(1+Assumptions!$I$46)^(-1*(G33-Q33))))/Assumptions!$I$46)-((Y33*(1-(1+Assumptions!$I$46)^(-1*(T33))))/Assumptions!$I$46)</f>
        <v>5505.2009183683076</v>
      </c>
      <c r="AF33" s="148">
        <f>((Z33*(1-(1+Assumptions!$J$46)^(-1*(G33-Q33))))/Assumptions!$J$46)-((Z33*(1-(1+Assumptions!$J$46)^(-1*(T33))))/Assumptions!$J$46)</f>
        <v>4817.0508035722669</v>
      </c>
      <c r="AG33" s="145">
        <v>37134</v>
      </c>
      <c r="AH33" s="148">
        <f>((AI33*(1-(1+Assumptions!$M$40)^(-1*(G33-Q33))))/Assumptions!$M$40)-((AI33*(1-(1+Assumptions!$M$40)^(-1*(T33))))/Assumptions!$M$40)</f>
        <v>30351.806953738065</v>
      </c>
      <c r="AI33" s="409">
        <f>IF(P33&gt;29.999,(VLOOKUP(N33,Assumptions!$B$24:$M$34,12,FALSE)),(VLOOKUP(N33,Assumptions!$B$24:$M$34,12,FALSE)/30*P33))</f>
        <v>10487.671232876713</v>
      </c>
      <c r="AJ33" s="148">
        <f>((AI33*(1-(1+Assumptions!$L$40)^(-1*(G33-Q33))))/Assumptions!$L$40)-((AI33*(1-(1+Assumptions!$L$40)^(-1*(T33))))/Assumptions!$L$40)</f>
        <v>8848.0015577587183</v>
      </c>
      <c r="AK33" s="148">
        <f>((AI33*(1-(1+Assumptions!$L$46)^(-1*(G33-Q33))))/Assumptions!$L$46)-((AI33*(1-(1+Assumptions!$L$46)^(-1*(T33))))/Assumptions!$L$46)</f>
        <v>24773.404132657364</v>
      </c>
      <c r="AL33" s="148">
        <f>IF(Q33&gt;Assumptions!$L$3,W33,0)</f>
        <v>0</v>
      </c>
      <c r="AM33" s="3"/>
      <c r="AN33" s="3"/>
      <c r="AO33" s="114"/>
      <c r="AP33" s="116"/>
      <c r="AQ33" s="114"/>
      <c r="AR33" s="116"/>
    </row>
    <row r="34" spans="1:44" x14ac:dyDescent="0.2">
      <c r="A34" s="3" t="s">
        <v>104</v>
      </c>
      <c r="B34" s="189">
        <f t="shared" si="3"/>
        <v>30</v>
      </c>
      <c r="D34" s="503" t="s">
        <v>362</v>
      </c>
      <c r="E34" s="255"/>
      <c r="F34" s="36" t="s">
        <v>6</v>
      </c>
      <c r="G34" s="5">
        <f>IF(F34="f",Assumptions!$E$39,Assumptions!$E$38)</f>
        <v>81.8</v>
      </c>
      <c r="H34" s="114">
        <v>24029</v>
      </c>
      <c r="I34" s="116">
        <v>34308</v>
      </c>
      <c r="J34" s="22"/>
      <c r="K34" s="22"/>
      <c r="L34" s="91">
        <f>(((H34+(Assumptions!$E$43*365))-I34))/365</f>
        <v>36.838356164383562</v>
      </c>
      <c r="M34" s="240"/>
      <c r="N34" s="125" t="s">
        <v>222</v>
      </c>
      <c r="O34" s="121">
        <f>IF($P34&gt;29.999,(VLOOKUP($N34,Assumptions!$B$24:$J$34,6,FALSE)),(VLOOKUP($N34,Assumptions!$B$24:$J$34,6,FALSE)/30*$P34))</f>
        <v>9290.9589041095896</v>
      </c>
      <c r="P34" s="7">
        <f t="shared" si="0"/>
        <v>7.7424657534246579</v>
      </c>
      <c r="Q34" s="39">
        <f t="shared" si="1"/>
        <v>35.904109589041099</v>
      </c>
      <c r="R34" s="23"/>
      <c r="T34" s="81">
        <f>IF(Q34&lt;=Assumptions!$E$43,Assumptions!$E$43-Q34,Assumptions!$E$45)</f>
        <v>29.095890410958901</v>
      </c>
      <c r="U34" s="191">
        <f t="shared" si="2"/>
        <v>7.7424657534246579</v>
      </c>
      <c r="V34" s="277">
        <f>((O34*(1-(1+Assumptions!$G$40)^(-1*(G34-Q34))))/Assumptions!$G$40)-((O34*(1-(1+Assumptions!$G$40)^(-1*(T34))))/Assumptions!$G$40)</f>
        <v>6433.8491965744179</v>
      </c>
      <c r="W34" s="277">
        <f>((O34*(1-(1+Assumptions!$G$46)^(-1*(G34-Q34))))/Assumptions!$G$46)-((O34*(1-(1+Assumptions!$G$46)^(-1*(T34))))/Assumptions!$G$46)</f>
        <v>17377.52314027166</v>
      </c>
      <c r="X34" s="121">
        <f>IF($P34&gt;29.999,(VLOOKUP($N34,Assumptions!$B$24:$J$34,7,FALSE)),(VLOOKUP($N34,Assumptions!$B$24:$J$34,7,FALSE)/30*$P34))</f>
        <v>1806.5753424657537</v>
      </c>
      <c r="Y34" s="121">
        <f>IF($P34&gt;29.999,(VLOOKUP($N34,Assumptions!$B$24:$J$34,8,FALSE)),(VLOOKUP($N34,Assumptions!$B$24:$J$34,8,FALSE)/30*$P34))</f>
        <v>2064.6575342465758</v>
      </c>
      <c r="Z34" s="121">
        <f>IF($P34&gt;29.999,(VLOOKUP($N34,Assumptions!$B$24:$J$34,9,FALSE)),(VLOOKUP($N34,Assumptions!$B$24:$J$34,9,FALSE)/30*$P34))</f>
        <v>1806.5753424657537</v>
      </c>
      <c r="AA34" s="148">
        <f>((X34*(1-(1+Assumptions!$H$40)^(-1*(G34-Q34))))/Assumptions!$H$40)-((X34*(1-(1+Assumptions!$H$40)^(-1*(T34))))/Assumptions!$H$40)</f>
        <v>1251.0262326672455</v>
      </c>
      <c r="AB34" s="148">
        <f>((Y34*(1-(1+Assumptions!$I$40)^(-1*(G34-Q34))))/Assumptions!$I$40)-((Y34*(1-(1+Assumptions!$I$40)^(-1*(T34))))/Assumptions!$I$40)</f>
        <v>1429.744265905425</v>
      </c>
      <c r="AC34" s="148">
        <f>((Z34*(1-(1+Assumptions!$J$40)^(-1*(G34-Q34))))/Assumptions!$J$40)-((Z34*(1-(1+Assumptions!$J$40)^(-1*(T34))))/Assumptions!$J$40)</f>
        <v>1251.0262326672455</v>
      </c>
      <c r="AD34" s="148">
        <f>((X34*(1-(1+Assumptions!$H$46)^(-1*(G34-Q34))))/Assumptions!$H$46)-((X34*(1-(1+Assumptions!$H$46)^(-1*(T34))))/Assumptions!$H$46)</f>
        <v>3378.9628328305989</v>
      </c>
      <c r="AE34" s="148">
        <f>((Y34*(1-(1+Assumptions!$I$46)^(-1*(G34-Q34))))/Assumptions!$I$46)-((Y34*(1-(1+Assumptions!$I$46)^(-1*(T34))))/Assumptions!$I$46)</f>
        <v>3861.6718089492533</v>
      </c>
      <c r="AF34" s="148">
        <f>((Z34*(1-(1+Assumptions!$J$46)^(-1*(G34-Q34))))/Assumptions!$J$46)-((Z34*(1-(1+Assumptions!$J$46)^(-1*(T34))))/Assumptions!$J$46)</f>
        <v>3378.9628328305989</v>
      </c>
      <c r="AG34" s="145">
        <v>37134</v>
      </c>
      <c r="AH34" s="148">
        <f>((AI34*(1-(1+Assumptions!$M$40)^(-1*(G34-Q34))))/Assumptions!$M$40)-((AI34*(1-(1+Assumptions!$M$40)^(-1*(T34))))/Assumptions!$M$40)</f>
        <v>21103.925422503991</v>
      </c>
      <c r="AI34" s="409">
        <f>IF(P34&gt;29.999,(VLOOKUP(N34,Assumptions!$B$24:$M$34,12,FALSE)),(VLOOKUP(N34,Assumptions!$B$24:$M$34,12,FALSE)/30*P34))</f>
        <v>9290.9589041095896</v>
      </c>
      <c r="AJ34" s="148">
        <f>((AI34*(1-(1+Assumptions!$L$40)^(-1*(G34-Q34))))/Assumptions!$L$40)-((AI34*(1-(1+Assumptions!$L$40)^(-1*(T34))))/Assumptions!$L$40)</f>
        <v>6433.8491965744179</v>
      </c>
      <c r="AK34" s="148">
        <f>((AI34*(1-(1+Assumptions!$L$46)^(-1*(G34-Q34))))/Assumptions!$L$46)-((AI34*(1-(1+Assumptions!$L$46)^(-1*(T34))))/Assumptions!$L$46)</f>
        <v>17377.52314027166</v>
      </c>
      <c r="AL34" s="148">
        <f>IF(Q34&gt;Assumptions!$L$3,W34,0)</f>
        <v>0</v>
      </c>
      <c r="AM34" s="3"/>
      <c r="AN34" s="3"/>
      <c r="AO34" s="114"/>
      <c r="AP34" s="116"/>
      <c r="AQ34" s="114"/>
      <c r="AR34" s="116"/>
    </row>
    <row r="35" spans="1:44" x14ac:dyDescent="0.2">
      <c r="A35" s="3" t="s">
        <v>104</v>
      </c>
      <c r="B35" s="189">
        <f t="shared" si="3"/>
        <v>31</v>
      </c>
      <c r="D35" s="503" t="s">
        <v>363</v>
      </c>
      <c r="E35" s="255"/>
      <c r="F35" s="36" t="s">
        <v>5</v>
      </c>
      <c r="G35" s="5">
        <f>IF(F35="f",Assumptions!$E$39,Assumptions!$E$38)</f>
        <v>89.3</v>
      </c>
      <c r="H35" s="114">
        <v>18077</v>
      </c>
      <c r="I35" s="116">
        <v>26633</v>
      </c>
      <c r="J35" s="22"/>
      <c r="K35" s="22"/>
      <c r="L35" s="91">
        <f>(((H35+(Assumptions!$E$43*365))-I35))/365</f>
        <v>41.558904109589044</v>
      </c>
      <c r="M35" s="240"/>
      <c r="N35" s="125" t="s">
        <v>224</v>
      </c>
      <c r="O35" s="121">
        <f>IF($P35&gt;29.999,(VLOOKUP($N35,Assumptions!$B$24:$J$34,6,FALSE)),(VLOOKUP($N35,Assumptions!$B$24:$J$34,6,FALSE)/30*$P35))</f>
        <v>34523.835616438351</v>
      </c>
      <c r="P35" s="7">
        <f t="shared" si="0"/>
        <v>28.769863013698629</v>
      </c>
      <c r="Q35" s="39">
        <f t="shared" si="1"/>
        <v>52.210958904109589</v>
      </c>
      <c r="R35" s="23"/>
      <c r="T35" s="81">
        <f>IF(Q35&lt;=Assumptions!$E$43,Assumptions!$E$43-Q35,Assumptions!$E$45)</f>
        <v>12.789041095890411</v>
      </c>
      <c r="U35" s="191">
        <f t="shared" si="2"/>
        <v>28.769863013698629</v>
      </c>
      <c r="V35" s="277">
        <f>((O35*(1-(1+Assumptions!$G$40)^(-1*(G35-Q35))))/Assumptions!$G$40)-((O35*(1-(1+Assumptions!$G$40)^(-1*(T35))))/Assumptions!$G$40)</f>
        <v>111721.95679832503</v>
      </c>
      <c r="W35" s="277">
        <f>((O35*(1-(1+Assumptions!$G$46)^(-1*(G35-Q35))))/Assumptions!$G$46)-((O35*(1-(1+Assumptions!$G$46)^(-1*(T35))))/Assumptions!$G$46)</f>
        <v>204188.35871837573</v>
      </c>
      <c r="X35" s="121">
        <f>IF($P35&gt;29.999,(VLOOKUP($N35,Assumptions!$B$24:$J$34,7,FALSE)),(VLOOKUP($N35,Assumptions!$B$24:$J$34,7,FALSE)/30*$P35))</f>
        <v>23974.88584474886</v>
      </c>
      <c r="Y35" s="121">
        <f>IF($P35&gt;29.999,(VLOOKUP($N35,Assumptions!$B$24:$J$34,8,FALSE)),(VLOOKUP($N35,Assumptions!$B$24:$J$34,8,FALSE)/30*$P35))</f>
        <v>30687.853881278541</v>
      </c>
      <c r="Z35" s="121">
        <f>IF($P35&gt;29.999,(VLOOKUP($N35,Assumptions!$B$24:$J$34,9,FALSE)),(VLOOKUP($N35,Assumptions!$B$24:$J$34,9,FALSE)/30*$P35))</f>
        <v>23974.88584474886</v>
      </c>
      <c r="AA35" s="148">
        <f>((X35*(1-(1+Assumptions!$H$40)^(-1*(G35-Q35))))/Assumptions!$H$40)-((X35*(1-(1+Assumptions!$H$40)^(-1*(T35))))/Assumptions!$H$40)</f>
        <v>77584.692221058998</v>
      </c>
      <c r="AB35" s="148">
        <f>((Y35*(1-(1+Assumptions!$I$40)^(-1*(G35-Q35))))/Assumptions!$I$40)-((Y35*(1-(1+Assumptions!$I$40)^(-1*(T35))))/Assumptions!$I$40)</f>
        <v>99308.406042955525</v>
      </c>
      <c r="AC35" s="148">
        <f>((Z35*(1-(1+Assumptions!$J$40)^(-1*(G35-Q35))))/Assumptions!$J$40)-((Z35*(1-(1+Assumptions!$J$40)^(-1*(T35))))/Assumptions!$J$40)</f>
        <v>77584.692221058998</v>
      </c>
      <c r="AD35" s="148">
        <f>((X35*(1-(1+Assumptions!$H$46)^(-1*(G35-Q35))))/Assumptions!$H$46)-((X35*(1-(1+Assumptions!$H$46)^(-1*(T35))))/Assumptions!$H$46)</f>
        <v>141797.47133220546</v>
      </c>
      <c r="AE35" s="148">
        <f>((Y35*(1-(1+Assumptions!$I$46)^(-1*(G35-Q35))))/Assumptions!$I$46)-((Y35*(1-(1+Assumptions!$I$46)^(-1*(T35))))/Assumptions!$I$46)</f>
        <v>181500.76330522291</v>
      </c>
      <c r="AF35" s="148">
        <f>((Z35*(1-(1+Assumptions!$J$46)^(-1*(G35-Q35))))/Assumptions!$J$46)-((Z35*(1-(1+Assumptions!$J$46)^(-1*(T35))))/Assumptions!$J$46)</f>
        <v>141797.47133220546</v>
      </c>
      <c r="AG35" s="145">
        <v>37134</v>
      </c>
      <c r="AH35" s="148">
        <f>((AI35*(1-(1+Assumptions!$M$40)^(-1*(G35-Q35))))/Assumptions!$M$40)-((AI35*(1-(1+Assumptions!$M$40)^(-1*(T35))))/Assumptions!$M$40)</f>
        <v>230336.5708819768</v>
      </c>
      <c r="AI35" s="409">
        <f>IF(P35&gt;29.999,(VLOOKUP(N35,Assumptions!$B$24:$M$34,12,FALSE)),(VLOOKUP(N35,Assumptions!$B$24:$M$34,12,FALSE)/30*P35))</f>
        <v>34523.835616438351</v>
      </c>
      <c r="AJ35" s="148">
        <f>((AI35*(1-(1+Assumptions!$L$40)^(-1*(G35-Q35))))/Assumptions!$L$40)-((AI35*(1-(1+Assumptions!$L$40)^(-1*(T35))))/Assumptions!$L$40)</f>
        <v>111721.95679832503</v>
      </c>
      <c r="AK35" s="148">
        <f>((AI35*(1-(1+Assumptions!$L$46)^(-1*(G35-Q35))))/Assumptions!$L$46)-((AI35*(1-(1+Assumptions!$L$46)^(-1*(T35))))/Assumptions!$L$46)</f>
        <v>204188.35871837573</v>
      </c>
      <c r="AL35" s="148">
        <f>IF(Q35&gt;Assumptions!$L$3,W35,0)</f>
        <v>0</v>
      </c>
      <c r="AM35" s="3"/>
      <c r="AN35" s="3"/>
      <c r="AO35" s="114"/>
      <c r="AP35" s="116"/>
      <c r="AQ35" s="114"/>
      <c r="AR35" s="116"/>
    </row>
    <row r="36" spans="1:44" x14ac:dyDescent="0.2">
      <c r="A36" s="3" t="s">
        <v>104</v>
      </c>
      <c r="B36" s="189">
        <f t="shared" si="3"/>
        <v>32</v>
      </c>
      <c r="D36" s="503" t="s">
        <v>364</v>
      </c>
      <c r="E36" s="255"/>
      <c r="F36" s="36" t="s">
        <v>6</v>
      </c>
      <c r="G36" s="5">
        <f>IF(F36="f",Assumptions!$E$39,Assumptions!$E$38)</f>
        <v>81.8</v>
      </c>
      <c r="H36" s="114">
        <v>15544</v>
      </c>
      <c r="I36" s="116">
        <v>25537</v>
      </c>
      <c r="J36" s="22"/>
      <c r="K36" s="22"/>
      <c r="L36" s="91">
        <f>(((H36+(Assumptions!$E$43*365))-I36))/365</f>
        <v>37.62191780821918</v>
      </c>
      <c r="M36" s="240"/>
      <c r="N36" s="125" t="s">
        <v>225</v>
      </c>
      <c r="O36" s="121">
        <f>IF($P36&gt;29.999,(VLOOKUP($N36,Assumptions!$B$24:$J$34,6,FALSE)),(VLOOKUP($N36,Assumptions!$B$24:$J$34,6,FALSE)/30*$P36))</f>
        <v>36000</v>
      </c>
      <c r="P36" s="7">
        <f t="shared" si="0"/>
        <v>31.772602739726029</v>
      </c>
      <c r="Q36" s="39">
        <f t="shared" si="1"/>
        <v>59.150684931506852</v>
      </c>
      <c r="R36" s="23"/>
      <c r="T36" s="81">
        <f>IF(Q36&lt;=Assumptions!$E$43,Assumptions!$E$43-Q36,Assumptions!$E$45)</f>
        <v>5.8493150684931479</v>
      </c>
      <c r="U36" s="191">
        <f t="shared" si="2"/>
        <v>31.772602739726029</v>
      </c>
      <c r="V36" s="277">
        <f>((O36*(1-(1+Assumptions!$G$40)^(-1*(G36-Q36))))/Assumptions!$G$40)-((O36*(1-(1+Assumptions!$G$40)^(-1*(T36))))/Assumptions!$G$40)</f>
        <v>184820.75629830497</v>
      </c>
      <c r="W36" s="277">
        <f>((O36*(1-(1+Assumptions!$G$46)^(-1*(G36-Q36))))/Assumptions!$G$46)-((O36*(1-(1+Assumptions!$G$46)^(-1*(T36))))/Assumptions!$G$46)</f>
        <v>264373.28125940298</v>
      </c>
      <c r="X36" s="121">
        <f>IF($P36&gt;29.999,(VLOOKUP($N36,Assumptions!$B$24:$J$34,7,FALSE)),(VLOOKUP($N36,Assumptions!$B$24:$J$34,7,FALSE)/30*$P36))</f>
        <v>28500</v>
      </c>
      <c r="Y36" s="121">
        <f>IF($P36&gt;29.999,(VLOOKUP($N36,Assumptions!$B$24:$J$34,8,FALSE)),(VLOOKUP($N36,Assumptions!$B$24:$J$34,8,FALSE)/30*$P36))</f>
        <v>36000</v>
      </c>
      <c r="Z36" s="121">
        <f>IF($P36&gt;29.999,(VLOOKUP($N36,Assumptions!$B$24:$J$34,9,FALSE)),(VLOOKUP($N36,Assumptions!$B$24:$J$34,9,FALSE)/30*$P36))</f>
        <v>28000</v>
      </c>
      <c r="AA36" s="148">
        <f>((X36*(1-(1+Assumptions!$H$40)^(-1*(G36-Q36))))/Assumptions!$H$40)-((X36*(1-(1+Assumptions!$H$40)^(-1*(T36))))/Assumptions!$H$40)</f>
        <v>146316.43206949142</v>
      </c>
      <c r="AB36" s="148">
        <f>((Y36*(1-(1+Assumptions!$I$40)^(-1*(G36-Q36))))/Assumptions!$I$40)-((Y36*(1-(1+Assumptions!$I$40)^(-1*(T36))))/Assumptions!$I$40)</f>
        <v>184820.75629830497</v>
      </c>
      <c r="AC36" s="148">
        <f>((Z36*(1-(1+Assumptions!$J$40)^(-1*(G36-Q36))))/Assumptions!$J$40)-((Z36*(1-(1+Assumptions!$J$40)^(-1*(T36))))/Assumptions!$J$40)</f>
        <v>143749.47712090384</v>
      </c>
      <c r="AD36" s="148">
        <f>((X36*(1-(1+Assumptions!$H$46)^(-1*(G36-Q36))))/Assumptions!$H$46)-((X36*(1-(1+Assumptions!$H$46)^(-1*(T36))))/Assumptions!$H$46)</f>
        <v>209295.51433036069</v>
      </c>
      <c r="AE36" s="148">
        <f>((Y36*(1-(1+Assumptions!$I$46)^(-1*(G36-Q36))))/Assumptions!$I$46)-((Y36*(1-(1+Assumptions!$I$46)^(-1*(T36))))/Assumptions!$I$46)</f>
        <v>264373.28125940298</v>
      </c>
      <c r="AF36" s="148">
        <f>((Z36*(1-(1+Assumptions!$J$46)^(-1*(G36-Q36))))/Assumptions!$J$46)-((Z36*(1-(1+Assumptions!$J$46)^(-1*(T36))))/Assumptions!$J$46)</f>
        <v>205623.66320175797</v>
      </c>
      <c r="AG36" s="145">
        <v>37134</v>
      </c>
      <c r="AH36" s="148">
        <f>((AI36*(1-(1+Assumptions!$M$40)^(-1*(G36-Q36))))/Assumptions!$M$40)-((AI36*(1-(1+Assumptions!$M$40)^(-1*(T36))))/Assumptions!$M$40)</f>
        <v>283886.83954344061</v>
      </c>
      <c r="AI36" s="409">
        <f>IF(P36&gt;29.999,(VLOOKUP(N36,Assumptions!$B$24:$M$34,12,FALSE)),(VLOOKUP(N36,Assumptions!$B$24:$M$34,12,FALSE)/30*P36))</f>
        <v>36000</v>
      </c>
      <c r="AJ36" s="148">
        <f>((AI36*(1-(1+Assumptions!$L$40)^(-1*(G36-Q36))))/Assumptions!$L$40)-((AI36*(1-(1+Assumptions!$L$40)^(-1*(T36))))/Assumptions!$L$40)</f>
        <v>184820.75629830497</v>
      </c>
      <c r="AK36" s="148">
        <f>((AI36*(1-(1+Assumptions!$L$46)^(-1*(G36-Q36))))/Assumptions!$L$46)-((AI36*(1-(1+Assumptions!$L$46)^(-1*(T36))))/Assumptions!$L$46)</f>
        <v>264373.28125940298</v>
      </c>
      <c r="AL36" s="148">
        <f>IF(Q36&gt;Assumptions!$L$3,W36,0)</f>
        <v>264373.28125940298</v>
      </c>
      <c r="AM36" s="3"/>
      <c r="AN36" s="3"/>
      <c r="AO36" s="114"/>
      <c r="AP36" s="116"/>
      <c r="AQ36" s="114"/>
      <c r="AR36" s="116"/>
    </row>
    <row r="37" spans="1:44" x14ac:dyDescent="0.2">
      <c r="A37" s="3" t="s">
        <v>104</v>
      </c>
      <c r="B37" s="189">
        <f t="shared" si="3"/>
        <v>33</v>
      </c>
      <c r="D37" s="503" t="s">
        <v>365</v>
      </c>
      <c r="E37" s="255"/>
      <c r="F37" s="36" t="s">
        <v>6</v>
      </c>
      <c r="G37" s="5">
        <f>IF(F37="f",Assumptions!$E$39,Assumptions!$E$38)</f>
        <v>81.8</v>
      </c>
      <c r="H37" s="114">
        <v>18394</v>
      </c>
      <c r="I37" s="116">
        <v>28141</v>
      </c>
      <c r="J37" s="22"/>
      <c r="K37" s="22"/>
      <c r="L37" s="91">
        <f>(((H37+(Assumptions!$E$43*365))-I37))/365</f>
        <v>38.295890410958904</v>
      </c>
      <c r="M37" s="240"/>
      <c r="N37" s="125" t="s">
        <v>224</v>
      </c>
      <c r="O37" s="121">
        <f>IF($P37&gt;29.999,(VLOOKUP($N37,Assumptions!$B$24:$J$34,6,FALSE)),(VLOOKUP($N37,Assumptions!$B$24:$J$34,6,FALSE)/30*$P37))</f>
        <v>29566.027397260274</v>
      </c>
      <c r="P37" s="7">
        <f t="shared" ref="P37:P68" si="4">(AG37-I37)/365</f>
        <v>24.638356164383563</v>
      </c>
      <c r="Q37" s="39">
        <f t="shared" ref="Q37:Q68" si="5">(AG37-H37)/365</f>
        <v>51.342465753424655</v>
      </c>
      <c r="R37" s="23"/>
      <c r="T37" s="81">
        <f>IF(Q37&lt;=Assumptions!$E$43,Assumptions!$E$43-Q37,Assumptions!$E$45)</f>
        <v>13.657534246575345</v>
      </c>
      <c r="U37" s="191">
        <f t="shared" ref="U37:U68" si="6">(AG37-I37)/365</f>
        <v>24.638356164383563</v>
      </c>
      <c r="V37" s="277">
        <f>((O37*(1-(1+Assumptions!$G$40)^(-1*(G37-Q37))))/Assumptions!$G$40)-((O37*(1-(1+Assumptions!$G$40)^(-1*(T37))))/Assumptions!$G$40)</f>
        <v>77447.413509560953</v>
      </c>
      <c r="W37" s="277">
        <f>((O37*(1-(1+Assumptions!$G$46)^(-1*(G37-Q37))))/Assumptions!$G$46)-((O37*(1-(1+Assumptions!$G$46)^(-1*(T37))))/Assumptions!$G$46)</f>
        <v>137149.85869648104</v>
      </c>
      <c r="X37" s="121">
        <f>IF($P37&gt;29.999,(VLOOKUP($N37,Assumptions!$B$24:$J$34,7,FALSE)),(VLOOKUP($N37,Assumptions!$B$24:$J$34,7,FALSE)/30*$P37))</f>
        <v>20531.963470319635</v>
      </c>
      <c r="Y37" s="121">
        <f>IF($P37&gt;29.999,(VLOOKUP($N37,Assumptions!$B$24:$J$34,8,FALSE)),(VLOOKUP($N37,Assumptions!$B$24:$J$34,8,FALSE)/30*$P37))</f>
        <v>26280.913242009134</v>
      </c>
      <c r="Z37" s="121">
        <f>IF($P37&gt;29.999,(VLOOKUP($N37,Assumptions!$B$24:$J$34,9,FALSE)),(VLOOKUP($N37,Assumptions!$B$24:$J$34,9,FALSE)/30*$P37))</f>
        <v>20531.963470319635</v>
      </c>
      <c r="AA37" s="148">
        <f>((X37*(1-(1+Assumptions!$H$40)^(-1*(G37-Q37))))/Assumptions!$H$40)-((X37*(1-(1+Assumptions!$H$40)^(-1*(T37))))/Assumptions!$H$40)</f>
        <v>53782.926048306254</v>
      </c>
      <c r="AB37" s="148">
        <f>((Y37*(1-(1+Assumptions!$I$40)^(-1*(G37-Q37))))/Assumptions!$I$40)-((Y37*(1-(1+Assumptions!$I$40)^(-1*(T37))))/Assumptions!$I$40)</f>
        <v>68842.145341832016</v>
      </c>
      <c r="AC37" s="148">
        <f>((Z37*(1-(1+Assumptions!$J$40)^(-1*(G37-Q37))))/Assumptions!$J$40)-((Z37*(1-(1+Assumptions!$J$40)^(-1*(T37))))/Assumptions!$J$40)</f>
        <v>53782.926048306254</v>
      </c>
      <c r="AD37" s="148">
        <f>((X37*(1-(1+Assumptions!$H$46)^(-1*(G37-Q37))))/Assumptions!$H$46)-((X37*(1-(1+Assumptions!$H$46)^(-1*(T37))))/Assumptions!$H$46)</f>
        <v>95242.957428111782</v>
      </c>
      <c r="AE37" s="148">
        <f>((Y37*(1-(1+Assumptions!$I$46)^(-1*(G37-Q37))))/Assumptions!$I$46)-((Y37*(1-(1+Assumptions!$I$46)^(-1*(T37))))/Assumptions!$I$46)</f>
        <v>121910.9855079831</v>
      </c>
      <c r="AF37" s="148">
        <f>((Z37*(1-(1+Assumptions!$J$46)^(-1*(G37-Q37))))/Assumptions!$J$46)-((Z37*(1-(1+Assumptions!$J$46)^(-1*(T37))))/Assumptions!$J$46)</f>
        <v>95242.957428111782</v>
      </c>
      <c r="AG37" s="145">
        <v>37134</v>
      </c>
      <c r="AH37" s="148">
        <f>((AI37*(1-(1+Assumptions!$M$40)^(-1*(G37-Q37))))/Assumptions!$M$40)-((AI37*(1-(1+Assumptions!$M$40)^(-1*(T37))))/Assumptions!$M$40)</f>
        <v>153488.35546384915</v>
      </c>
      <c r="AI37" s="409">
        <f>IF(P37&gt;29.999,(VLOOKUP(N37,Assumptions!$B$24:$M$34,12,FALSE)),(VLOOKUP(N37,Assumptions!$B$24:$M$34,12,FALSE)/30*P37))</f>
        <v>29566.027397260274</v>
      </c>
      <c r="AJ37" s="148">
        <f>((AI37*(1-(1+Assumptions!$L$40)^(-1*(G37-Q37))))/Assumptions!$L$40)-((AI37*(1-(1+Assumptions!$L$40)^(-1*(T37))))/Assumptions!$L$40)</f>
        <v>77447.413509560953</v>
      </c>
      <c r="AK37" s="148">
        <f>((AI37*(1-(1+Assumptions!$L$46)^(-1*(G37-Q37))))/Assumptions!$L$46)-((AI37*(1-(1+Assumptions!$L$46)^(-1*(T37))))/Assumptions!$L$46)</f>
        <v>137149.85869648104</v>
      </c>
      <c r="AL37" s="148">
        <f>IF(Q37&gt;Assumptions!$L$3,W37,0)</f>
        <v>0</v>
      </c>
      <c r="AM37" s="3"/>
      <c r="AN37" s="3"/>
      <c r="AO37" s="114"/>
      <c r="AP37" s="116"/>
      <c r="AQ37" s="114"/>
      <c r="AR37" s="116"/>
    </row>
    <row r="38" spans="1:44" x14ac:dyDescent="0.2">
      <c r="A38" s="3" t="s">
        <v>104</v>
      </c>
      <c r="B38" s="189">
        <f t="shared" si="3"/>
        <v>34</v>
      </c>
      <c r="D38" s="503" t="s">
        <v>366</v>
      </c>
      <c r="E38" s="255"/>
      <c r="F38" s="36" t="s">
        <v>5</v>
      </c>
      <c r="G38" s="5">
        <f>IF(F38="f",Assumptions!$E$39,Assumptions!$E$38)</f>
        <v>89.3</v>
      </c>
      <c r="H38" s="114">
        <v>20009</v>
      </c>
      <c r="I38" s="116">
        <v>29590</v>
      </c>
      <c r="J38" s="22"/>
      <c r="K38" s="22"/>
      <c r="L38" s="91">
        <f>(((H38+(Assumptions!$E$43*365))-I38))/365</f>
        <v>38.750684931506846</v>
      </c>
      <c r="M38" s="240"/>
      <c r="N38" s="125" t="s">
        <v>223</v>
      </c>
      <c r="O38" s="121">
        <f>IF($P38&gt;29.999,(VLOOKUP($N38,Assumptions!$B$24:$J$34,6,FALSE)),(VLOOKUP($N38,Assumptions!$B$24:$J$34,6,FALSE)/30*$P38))</f>
        <v>24802.191780821919</v>
      </c>
      <c r="P38" s="7">
        <f t="shared" si="4"/>
        <v>20.668493150684931</v>
      </c>
      <c r="Q38" s="39">
        <f t="shared" si="5"/>
        <v>46.917808219178085</v>
      </c>
      <c r="R38" s="23"/>
      <c r="T38" s="81">
        <f>IF(Q38&lt;=Assumptions!$E$43,Assumptions!$E$43-Q38,Assumptions!$E$45)</f>
        <v>18.082191780821915</v>
      </c>
      <c r="U38" s="191">
        <f t="shared" si="6"/>
        <v>20.668493150684931</v>
      </c>
      <c r="V38" s="277">
        <f>((O38*(1-(1+Assumptions!$G$40)^(-1*(G38-Q38))))/Assumptions!$G$40)-((O38*(1-(1+Assumptions!$G$40)^(-1*(T38))))/Assumptions!$G$40)</f>
        <v>50863.408693156205</v>
      </c>
      <c r="W38" s="277">
        <f>((O38*(1-(1+Assumptions!$G$46)^(-1*(G38-Q38))))/Assumptions!$G$46)-((O38*(1-(1+Assumptions!$G$46)^(-1*(T38))))/Assumptions!$G$46)</f>
        <v>107436.88546127256</v>
      </c>
      <c r="X38" s="121">
        <f>IF($P38&gt;29.999,(VLOOKUP($N38,Assumptions!$B$24:$J$34,7,FALSE)),(VLOOKUP($N38,Assumptions!$B$24:$J$34,7,FALSE)/30*$P38))</f>
        <v>11712.146118721461</v>
      </c>
      <c r="Y38" s="121">
        <f>IF($P38&gt;29.999,(VLOOKUP($N38,Assumptions!$B$24:$J$34,8,FALSE)),(VLOOKUP($N38,Assumptions!$B$24:$J$34,8,FALSE)/30*$P38))</f>
        <v>14467.945205479451</v>
      </c>
      <c r="Z38" s="121">
        <f>IF($P38&gt;29.999,(VLOOKUP($N38,Assumptions!$B$24:$J$34,9,FALSE)),(VLOOKUP($N38,Assumptions!$B$24:$J$34,9,FALSE)/30*$P38))</f>
        <v>11712.146118721461</v>
      </c>
      <c r="AA38" s="148">
        <f>((X38*(1-(1+Assumptions!$H$40)^(-1*(G38-Q38))))/Assumptions!$H$40)-((X38*(1-(1+Assumptions!$H$40)^(-1*(T38))))/Assumptions!$H$40)</f>
        <v>24018.831882879313</v>
      </c>
      <c r="AB38" s="148">
        <f>((Y38*(1-(1+Assumptions!$I$40)^(-1*(G38-Q38))))/Assumptions!$I$40)-((Y38*(1-(1+Assumptions!$I$40)^(-1*(T38))))/Assumptions!$I$40)</f>
        <v>29670.321737674443</v>
      </c>
      <c r="AC38" s="148">
        <f>((Z38*(1-(1+Assumptions!$J$40)^(-1*(G38-Q38))))/Assumptions!$J$40)-((Z38*(1-(1+Assumptions!$J$40)^(-1*(T38))))/Assumptions!$J$40)</f>
        <v>24018.831882879313</v>
      </c>
      <c r="AD38" s="148">
        <f>((X38*(1-(1+Assumptions!$H$46)^(-1*(G38-Q38))))/Assumptions!$H$46)-((X38*(1-(1+Assumptions!$H$46)^(-1*(T38))))/Assumptions!$H$46)</f>
        <v>50734.08480115651</v>
      </c>
      <c r="AE38" s="148">
        <f>((Y38*(1-(1+Assumptions!$I$46)^(-1*(G38-Q38))))/Assumptions!$I$46)-((Y38*(1-(1+Assumptions!$I$46)^(-1*(T38))))/Assumptions!$I$46)</f>
        <v>62671.516519075696</v>
      </c>
      <c r="AF38" s="148">
        <f>((Z38*(1-(1+Assumptions!$J$46)^(-1*(G38-Q38))))/Assumptions!$J$46)-((Z38*(1-(1+Assumptions!$J$46)^(-1*(T38))))/Assumptions!$J$46)</f>
        <v>50734.08480115651</v>
      </c>
      <c r="AG38" s="145">
        <v>37134</v>
      </c>
      <c r="AH38" s="148">
        <f>((AI38*(1-(1+Assumptions!$M$40)^(-1*(G38-Q38))))/Assumptions!$M$40)-((AI38*(1-(1+Assumptions!$M$40)^(-1*(T38))))/Assumptions!$M$40)</f>
        <v>124639.34143842041</v>
      </c>
      <c r="AI38" s="409">
        <f>IF(P38&gt;29.999,(VLOOKUP(N38,Assumptions!$B$24:$M$34,12,FALSE)),(VLOOKUP(N38,Assumptions!$B$24:$M$34,12,FALSE)/30*P38))</f>
        <v>24802.191780821919</v>
      </c>
      <c r="AJ38" s="148">
        <f>((AI38*(1-(1+Assumptions!$L$40)^(-1*(G38-Q38))))/Assumptions!$L$40)-((AI38*(1-(1+Assumptions!$L$40)^(-1*(T38))))/Assumptions!$L$40)</f>
        <v>50863.408693156205</v>
      </c>
      <c r="AK38" s="148">
        <f>((AI38*(1-(1+Assumptions!$L$46)^(-1*(G38-Q38))))/Assumptions!$L$46)-((AI38*(1-(1+Assumptions!$L$46)^(-1*(T38))))/Assumptions!$L$46)</f>
        <v>107436.88546127256</v>
      </c>
      <c r="AL38" s="148">
        <f>IF(Q38&gt;Assumptions!$L$3,W38,0)</f>
        <v>0</v>
      </c>
      <c r="AM38" s="3"/>
      <c r="AN38" s="3"/>
      <c r="AO38" s="114"/>
      <c r="AP38" s="116"/>
      <c r="AQ38" s="114"/>
      <c r="AR38" s="116"/>
    </row>
    <row r="39" spans="1:44" x14ac:dyDescent="0.2">
      <c r="A39" s="3" t="s">
        <v>104</v>
      </c>
      <c r="B39" s="189">
        <f t="shared" si="3"/>
        <v>35</v>
      </c>
      <c r="D39" s="503" t="s">
        <v>367</v>
      </c>
      <c r="E39" s="255"/>
      <c r="F39" s="36" t="s">
        <v>6</v>
      </c>
      <c r="G39" s="5">
        <f>IF(F39="f",Assumptions!$E$39,Assumptions!$E$38)</f>
        <v>81.8</v>
      </c>
      <c r="H39" s="114">
        <v>19646</v>
      </c>
      <c r="I39" s="116">
        <v>30172</v>
      </c>
      <c r="J39" s="22"/>
      <c r="K39" s="22"/>
      <c r="L39" s="91">
        <f>(((H39+(Assumptions!$E$43*365))-I39))/365</f>
        <v>36.161643835616438</v>
      </c>
      <c r="M39" s="240"/>
      <c r="N39" s="125" t="s">
        <v>223</v>
      </c>
      <c r="O39" s="121">
        <f>IF($P39&gt;29.999,(VLOOKUP($N39,Assumptions!$B$24:$J$34,6,FALSE)),(VLOOKUP($N39,Assumptions!$B$24:$J$34,6,FALSE)/30*$P39))</f>
        <v>22888.767123287671</v>
      </c>
      <c r="P39" s="7">
        <f t="shared" si="4"/>
        <v>19.073972602739726</v>
      </c>
      <c r="Q39" s="39">
        <f t="shared" si="5"/>
        <v>47.912328767123284</v>
      </c>
      <c r="R39" s="23"/>
      <c r="T39" s="81">
        <f>IF(Q39&lt;=Assumptions!$E$43,Assumptions!$E$43-Q39,Assumptions!$E$45)</f>
        <v>17.087671232876716</v>
      </c>
      <c r="U39" s="191">
        <f t="shared" si="6"/>
        <v>19.073972602739726</v>
      </c>
      <c r="V39" s="277">
        <f>((O39*(1-(1+Assumptions!$G$40)^(-1*(G39-Q39))))/Assumptions!$G$40)-((O39*(1-(1+Assumptions!$G$40)^(-1*(T39))))/Assumptions!$G$40)</f>
        <v>44612.681620507326</v>
      </c>
      <c r="W39" s="277">
        <f>((O39*(1-(1+Assumptions!$G$46)^(-1*(G39-Q39))))/Assumptions!$G$46)-((O39*(1-(1+Assumptions!$G$46)^(-1*(T39))))/Assumptions!$G$46)</f>
        <v>86771.923292916617</v>
      </c>
      <c r="X39" s="121">
        <f>IF($P39&gt;29.999,(VLOOKUP($N39,Assumptions!$B$24:$J$34,7,FALSE)),(VLOOKUP($N39,Assumptions!$B$24:$J$34,7,FALSE)/30*$P39))</f>
        <v>10808.584474885844</v>
      </c>
      <c r="Y39" s="121">
        <f>IF($P39&gt;29.999,(VLOOKUP($N39,Assumptions!$B$24:$J$34,8,FALSE)),(VLOOKUP($N39,Assumptions!$B$24:$J$34,8,FALSE)/30*$P39))</f>
        <v>13351.780821917808</v>
      </c>
      <c r="Z39" s="121">
        <f>IF($P39&gt;29.999,(VLOOKUP($N39,Assumptions!$B$24:$J$34,9,FALSE)),(VLOOKUP($N39,Assumptions!$B$24:$J$34,9,FALSE)/30*$P39))</f>
        <v>10808.584474885844</v>
      </c>
      <c r="AA39" s="148">
        <f>((X39*(1-(1+Assumptions!$H$40)^(-1*(G39-Q39))))/Assumptions!$H$40)-((X39*(1-(1+Assumptions!$H$40)^(-1*(T39))))/Assumptions!$H$40)</f>
        <v>21067.099654128455</v>
      </c>
      <c r="AB39" s="148">
        <f>((Y39*(1-(1+Assumptions!$I$40)^(-1*(G39-Q39))))/Assumptions!$I$40)-((Y39*(1-(1+Assumptions!$I$40)^(-1*(T39))))/Assumptions!$I$40)</f>
        <v>26024.064278629259</v>
      </c>
      <c r="AC39" s="148">
        <f>((Z39*(1-(1+Assumptions!$J$40)^(-1*(G39-Q39))))/Assumptions!$J$40)-((Z39*(1-(1+Assumptions!$J$40)^(-1*(T39))))/Assumptions!$J$40)</f>
        <v>21067.099654128455</v>
      </c>
      <c r="AD39" s="148">
        <f>((X39*(1-(1+Assumptions!$H$46)^(-1*(G39-Q39))))/Assumptions!$H$46)-((X39*(1-(1+Assumptions!$H$46)^(-1*(T39))))/Assumptions!$H$46)</f>
        <v>40975.630443877249</v>
      </c>
      <c r="AE39" s="148">
        <f>((Y39*(1-(1+Assumptions!$I$46)^(-1*(G39-Q39))))/Assumptions!$I$46)-((Y39*(1-(1+Assumptions!$I$46)^(-1*(T39))))/Assumptions!$I$46)</f>
        <v>50616.95525420137</v>
      </c>
      <c r="AF39" s="148">
        <f>((Z39*(1-(1+Assumptions!$J$46)^(-1*(G39-Q39))))/Assumptions!$J$46)-((Z39*(1-(1+Assumptions!$J$46)^(-1*(T39))))/Assumptions!$J$46)</f>
        <v>40975.630443877249</v>
      </c>
      <c r="AG39" s="145">
        <v>37134</v>
      </c>
      <c r="AH39" s="148">
        <f>((AI39*(1-(1+Assumptions!$M$40)^(-1*(G39-Q39))))/Assumptions!$M$40)-((AI39*(1-(1+Assumptions!$M$40)^(-1*(T39))))/Assumptions!$M$40)</f>
        <v>98888.488007148437</v>
      </c>
      <c r="AI39" s="409">
        <f>IF(P39&gt;29.999,(VLOOKUP(N39,Assumptions!$B$24:$M$34,12,FALSE)),(VLOOKUP(N39,Assumptions!$B$24:$M$34,12,FALSE)/30*P39))</f>
        <v>22888.767123287671</v>
      </c>
      <c r="AJ39" s="148">
        <f>((AI39*(1-(1+Assumptions!$L$40)^(-1*(G39-Q39))))/Assumptions!$L$40)-((AI39*(1-(1+Assumptions!$L$40)^(-1*(T39))))/Assumptions!$L$40)</f>
        <v>44612.681620507326</v>
      </c>
      <c r="AK39" s="148">
        <f>((AI39*(1-(1+Assumptions!$L$46)^(-1*(G39-Q39))))/Assumptions!$L$46)-((AI39*(1-(1+Assumptions!$L$46)^(-1*(T39))))/Assumptions!$L$46)</f>
        <v>86771.923292916617</v>
      </c>
      <c r="AL39" s="148">
        <f>IF(Q39&gt;Assumptions!$L$3,W39,0)</f>
        <v>0</v>
      </c>
      <c r="AM39" s="3"/>
      <c r="AN39" s="3"/>
      <c r="AO39" s="114"/>
      <c r="AP39" s="116"/>
      <c r="AQ39" s="114"/>
      <c r="AR39" s="116"/>
    </row>
    <row r="40" spans="1:44" x14ac:dyDescent="0.2">
      <c r="A40" s="3" t="s">
        <v>104</v>
      </c>
      <c r="B40" s="189">
        <f t="shared" si="3"/>
        <v>36</v>
      </c>
      <c r="D40" s="503" t="s">
        <v>368</v>
      </c>
      <c r="E40" s="255"/>
      <c r="F40" s="36" t="s">
        <v>5</v>
      </c>
      <c r="G40" s="5">
        <f>IF(F40="f",Assumptions!$E$39,Assumptions!$E$38)</f>
        <v>89.3</v>
      </c>
      <c r="H40" s="114">
        <v>17980</v>
      </c>
      <c r="I40" s="116">
        <v>26633</v>
      </c>
      <c r="J40" s="22"/>
      <c r="K40" s="22"/>
      <c r="L40" s="91">
        <f>(((H40+(Assumptions!$E$43*365))-I40))/365</f>
        <v>41.293150684931504</v>
      </c>
      <c r="M40" s="240"/>
      <c r="N40" s="125" t="s">
        <v>224</v>
      </c>
      <c r="O40" s="121">
        <f>IF($P40&gt;29.999,(VLOOKUP($N40,Assumptions!$B$24:$J$34,6,FALSE)),(VLOOKUP($N40,Assumptions!$B$24:$J$34,6,FALSE)/30*$P40))</f>
        <v>34523.835616438351</v>
      </c>
      <c r="P40" s="7">
        <f t="shared" si="4"/>
        <v>28.769863013698629</v>
      </c>
      <c r="Q40" s="39">
        <f t="shared" si="5"/>
        <v>52.476712328767121</v>
      </c>
      <c r="R40" s="23"/>
      <c r="T40" s="81">
        <f>IF(Q40&lt;=Assumptions!$E$43,Assumptions!$E$43-Q40,Assumptions!$E$45)</f>
        <v>12.523287671232879</v>
      </c>
      <c r="U40" s="191">
        <f t="shared" si="6"/>
        <v>28.769863013698629</v>
      </c>
      <c r="V40" s="277">
        <f>((O40*(1-(1+Assumptions!$G$40)^(-1*(G40-Q40))))/Assumptions!$G$40)-((O40*(1-(1+Assumptions!$G$40)^(-1*(T40))))/Assumptions!$G$40)</f>
        <v>114310.13922882761</v>
      </c>
      <c r="W40" s="277">
        <f>((O40*(1-(1+Assumptions!$G$46)^(-1*(G40-Q40))))/Assumptions!$G$46)-((O40*(1-(1+Assumptions!$G$46)^(-1*(T40))))/Assumptions!$G$46)</f>
        <v>207406.04473822156</v>
      </c>
      <c r="X40" s="121">
        <f>IF($P40&gt;29.999,(VLOOKUP($N40,Assumptions!$B$24:$J$34,7,FALSE)),(VLOOKUP($N40,Assumptions!$B$24:$J$34,7,FALSE)/30*$P40))</f>
        <v>23974.88584474886</v>
      </c>
      <c r="Y40" s="121">
        <f>IF($P40&gt;29.999,(VLOOKUP($N40,Assumptions!$B$24:$J$34,8,FALSE)),(VLOOKUP($N40,Assumptions!$B$24:$J$34,8,FALSE)/30*$P40))</f>
        <v>30687.853881278541</v>
      </c>
      <c r="Z40" s="121">
        <f>IF($P40&gt;29.999,(VLOOKUP($N40,Assumptions!$B$24:$J$34,9,FALSE)),(VLOOKUP($N40,Assumptions!$B$24:$J$34,9,FALSE)/30*$P40))</f>
        <v>23974.88584474886</v>
      </c>
      <c r="AA40" s="148">
        <f>((X40*(1-(1+Assumptions!$H$40)^(-1*(G40-Q40))))/Assumptions!$H$40)-((X40*(1-(1+Assumptions!$H$40)^(-1*(T40))))/Assumptions!$H$40)</f>
        <v>79382.041131130245</v>
      </c>
      <c r="AB40" s="148">
        <f>((Y40*(1-(1+Assumptions!$I$40)^(-1*(G40-Q40))))/Assumptions!$I$40)-((Y40*(1-(1+Assumptions!$I$40)^(-1*(T40))))/Assumptions!$I$40)</f>
        <v>101609.01264784671</v>
      </c>
      <c r="AC40" s="148">
        <f>((Z40*(1-(1+Assumptions!$J$40)^(-1*(G40-Q40))))/Assumptions!$J$40)-((Z40*(1-(1+Assumptions!$J$40)^(-1*(T40))))/Assumptions!$J$40)</f>
        <v>79382.041131130245</v>
      </c>
      <c r="AD40" s="148">
        <f>((X40*(1-(1+Assumptions!$H$46)^(-1*(G40-Q40))))/Assumptions!$H$46)-((X40*(1-(1+Assumptions!$H$46)^(-1*(T40))))/Assumptions!$H$46)</f>
        <v>144031.97551265391</v>
      </c>
      <c r="AE40" s="148">
        <f>((Y40*(1-(1+Assumptions!$I$46)^(-1*(G40-Q40))))/Assumptions!$I$46)-((Y40*(1-(1+Assumptions!$I$46)^(-1*(T40))))/Assumptions!$I$46)</f>
        <v>184360.92865619704</v>
      </c>
      <c r="AF40" s="148">
        <f>((Z40*(1-(1+Assumptions!$J$46)^(-1*(G40-Q40))))/Assumptions!$J$46)-((Z40*(1-(1+Assumptions!$J$46)^(-1*(T40))))/Assumptions!$J$46)</f>
        <v>144031.97551265391</v>
      </c>
      <c r="AG40" s="145">
        <v>37134</v>
      </c>
      <c r="AH40" s="148">
        <f>((AI40*(1-(1+Assumptions!$M$40)^(-1*(G40-Q40))))/Assumptions!$M$40)-((AI40*(1-(1+Assumptions!$M$40)^(-1*(T40))))/Assumptions!$M$40)</f>
        <v>233637.37481844792</v>
      </c>
      <c r="AI40" s="409">
        <f>IF(P40&gt;29.999,(VLOOKUP(N40,Assumptions!$B$24:$M$34,12,FALSE)),(VLOOKUP(N40,Assumptions!$B$24:$M$34,12,FALSE)/30*P40))</f>
        <v>34523.835616438351</v>
      </c>
      <c r="AJ40" s="148">
        <f>((AI40*(1-(1+Assumptions!$L$40)^(-1*(G40-Q40))))/Assumptions!$L$40)-((AI40*(1-(1+Assumptions!$L$40)^(-1*(T40))))/Assumptions!$L$40)</f>
        <v>114310.13922882761</v>
      </c>
      <c r="AK40" s="148">
        <f>((AI40*(1-(1+Assumptions!$L$46)^(-1*(G40-Q40))))/Assumptions!$L$46)-((AI40*(1-(1+Assumptions!$L$46)^(-1*(T40))))/Assumptions!$L$46)</f>
        <v>207406.04473822156</v>
      </c>
      <c r="AL40" s="148">
        <f>IF(Q40&gt;Assumptions!$L$3,W40,0)</f>
        <v>0</v>
      </c>
      <c r="AM40" s="3"/>
      <c r="AN40" s="3"/>
      <c r="AO40" s="114"/>
      <c r="AP40" s="116"/>
      <c r="AQ40" s="114"/>
      <c r="AR40" s="116"/>
    </row>
    <row r="41" spans="1:44" x14ac:dyDescent="0.2">
      <c r="A41" s="3" t="s">
        <v>104</v>
      </c>
      <c r="B41" s="189">
        <f t="shared" si="3"/>
        <v>37</v>
      </c>
      <c r="D41" s="503" t="s">
        <v>369</v>
      </c>
      <c r="E41" s="255"/>
      <c r="F41" s="36" t="s">
        <v>6</v>
      </c>
      <c r="G41" s="5">
        <f>IF(F41="f",Assumptions!$E$39,Assumptions!$E$38)</f>
        <v>81.8</v>
      </c>
      <c r="H41" s="114">
        <v>18125</v>
      </c>
      <c r="I41" s="116">
        <v>26267</v>
      </c>
      <c r="J41" s="22"/>
      <c r="K41" s="22"/>
      <c r="L41" s="91">
        <f>(((H41+(Assumptions!$E$43*365))-I41))/365</f>
        <v>42.69315068493151</v>
      </c>
      <c r="M41" s="240"/>
      <c r="N41" s="125" t="s">
        <v>224</v>
      </c>
      <c r="O41" s="121">
        <f>IF($P41&gt;29.999,(VLOOKUP($N41,Assumptions!$B$24:$J$34,6,FALSE)),(VLOOKUP($N41,Assumptions!$B$24:$J$34,6,FALSE)/30*$P41))</f>
        <v>35727.123287671231</v>
      </c>
      <c r="P41" s="7">
        <f t="shared" si="4"/>
        <v>29.772602739726029</v>
      </c>
      <c r="Q41" s="39">
        <f t="shared" si="5"/>
        <v>52.079452054794523</v>
      </c>
      <c r="R41" s="23"/>
      <c r="T41" s="81">
        <f>IF(Q41&lt;=Assumptions!$E$43,Assumptions!$E$43-Q41,Assumptions!$E$45)</f>
        <v>12.920547945205477</v>
      </c>
      <c r="U41" s="191">
        <f t="shared" si="6"/>
        <v>29.772602739726029</v>
      </c>
      <c r="V41" s="277">
        <f>((O41*(1-(1+Assumptions!$G$40)^(-1*(G41-Q41))))/Assumptions!$G$40)-((O41*(1-(1+Assumptions!$G$40)^(-1*(T41))))/Assumptions!$G$40)</f>
        <v>99722.879037311068</v>
      </c>
      <c r="W41" s="277">
        <f>((O41*(1-(1+Assumptions!$G$46)^(-1*(G41-Q41))))/Assumptions!$G$46)-((O41*(1-(1+Assumptions!$G$46)^(-1*(T41))))/Assumptions!$G$46)</f>
        <v>173073.92153896671</v>
      </c>
      <c r="X41" s="121">
        <f>IF($P41&gt;29.999,(VLOOKUP($N41,Assumptions!$B$24:$J$34,7,FALSE)),(VLOOKUP($N41,Assumptions!$B$24:$J$34,7,FALSE)/30*$P41))</f>
        <v>24810.502283105026</v>
      </c>
      <c r="Y41" s="121">
        <f>IF($P41&gt;29.999,(VLOOKUP($N41,Assumptions!$B$24:$J$34,8,FALSE)),(VLOOKUP($N41,Assumptions!$B$24:$J$34,8,FALSE)/30*$P41))</f>
        <v>31757.442922374434</v>
      </c>
      <c r="Z41" s="121">
        <f>IF($P41&gt;29.999,(VLOOKUP($N41,Assumptions!$B$24:$J$34,9,FALSE)),(VLOOKUP($N41,Assumptions!$B$24:$J$34,9,FALSE)/30*$P41))</f>
        <v>24810.502283105026</v>
      </c>
      <c r="AA41" s="148">
        <f>((X41*(1-(1+Assumptions!$H$40)^(-1*(G41-Q41))))/Assumptions!$H$40)-((X41*(1-(1+Assumptions!$H$40)^(-1*(T41))))/Assumptions!$H$40)</f>
        <v>69251.99933146601</v>
      </c>
      <c r="AB41" s="148">
        <f>((Y41*(1-(1+Assumptions!$I$40)^(-1*(G41-Q41))))/Assumptions!$I$40)-((Y41*(1-(1+Assumptions!$I$40)^(-1*(T41))))/Assumptions!$I$40)</f>
        <v>88642.559144276514</v>
      </c>
      <c r="AC41" s="148">
        <f>((Z41*(1-(1+Assumptions!$J$40)^(-1*(G41-Q41))))/Assumptions!$J$40)-((Z41*(1-(1+Assumptions!$J$40)^(-1*(T41))))/Assumptions!$J$40)</f>
        <v>69251.99933146601</v>
      </c>
      <c r="AD41" s="148">
        <f>((X41*(1-(1+Assumptions!$H$46)^(-1*(G41-Q41))))/Assumptions!$H$46)-((X41*(1-(1+Assumptions!$H$46)^(-1*(T41))))/Assumptions!$H$46)</f>
        <v>120190.22329094913</v>
      </c>
      <c r="AE41" s="148">
        <f>((Y41*(1-(1+Assumptions!$I$46)^(-1*(G41-Q41))))/Assumptions!$I$46)-((Y41*(1-(1+Assumptions!$I$46)^(-1*(T41))))/Assumptions!$I$46)</f>
        <v>153843.4858124149</v>
      </c>
      <c r="AF41" s="148">
        <f>((Z41*(1-(1+Assumptions!$J$46)^(-1*(G41-Q41))))/Assumptions!$J$46)-((Z41*(1-(1+Assumptions!$J$46)^(-1*(T41))))/Assumptions!$J$46)</f>
        <v>120190.22329094913</v>
      </c>
      <c r="AG41" s="145">
        <v>37134</v>
      </c>
      <c r="AH41" s="148">
        <f>((AI41*(1-(1+Assumptions!$M$40)^(-1*(G41-Q41))))/Assumptions!$M$40)-((AI41*(1-(1+Assumptions!$M$40)^(-1*(T41))))/Assumptions!$M$40)</f>
        <v>192937.76830990036</v>
      </c>
      <c r="AI41" s="409">
        <f>IF(P41&gt;29.999,(VLOOKUP(N41,Assumptions!$B$24:$M$34,12,FALSE)),(VLOOKUP(N41,Assumptions!$B$24:$M$34,12,FALSE)/30*P41))</f>
        <v>35727.123287671231</v>
      </c>
      <c r="AJ41" s="148">
        <f>((AI41*(1-(1+Assumptions!$L$40)^(-1*(G41-Q41))))/Assumptions!$L$40)-((AI41*(1-(1+Assumptions!$L$40)^(-1*(T41))))/Assumptions!$L$40)</f>
        <v>99722.879037311068</v>
      </c>
      <c r="AK41" s="148">
        <f>((AI41*(1-(1+Assumptions!$L$46)^(-1*(G41-Q41))))/Assumptions!$L$46)-((AI41*(1-(1+Assumptions!$L$46)^(-1*(T41))))/Assumptions!$L$46)</f>
        <v>173073.92153896671</v>
      </c>
      <c r="AL41" s="148">
        <f>IF(Q41&gt;Assumptions!$L$3,W41,0)</f>
        <v>0</v>
      </c>
      <c r="AM41" s="3"/>
      <c r="AN41" s="3"/>
      <c r="AO41" s="114"/>
      <c r="AP41" s="116"/>
      <c r="AQ41" s="114"/>
      <c r="AR41" s="116"/>
    </row>
    <row r="42" spans="1:44" x14ac:dyDescent="0.2">
      <c r="A42" s="3" t="s">
        <v>104</v>
      </c>
      <c r="B42" s="189">
        <f t="shared" si="3"/>
        <v>38</v>
      </c>
      <c r="D42" s="503" t="s">
        <v>370</v>
      </c>
      <c r="E42" s="255"/>
      <c r="F42" s="36" t="s">
        <v>5</v>
      </c>
      <c r="G42" s="5">
        <f>IF(F42="f",Assumptions!$E$39,Assumptions!$E$38)</f>
        <v>89.3</v>
      </c>
      <c r="H42" s="114">
        <v>23033</v>
      </c>
      <c r="I42" s="116">
        <v>32110</v>
      </c>
      <c r="J42" s="22"/>
      <c r="K42" s="22"/>
      <c r="L42" s="91">
        <f>(((H42+(Assumptions!$E$43*365))-I42))/365</f>
        <v>40.131506849315066</v>
      </c>
      <c r="M42" s="240"/>
      <c r="N42" s="125" t="s">
        <v>222</v>
      </c>
      <c r="O42" s="121">
        <f>IF($P42&gt;29.999,(VLOOKUP($N42,Assumptions!$B$24:$J$34,6,FALSE)),(VLOOKUP($N42,Assumptions!$B$24:$J$34,6,FALSE)/30*$P42))</f>
        <v>16517.260273972603</v>
      </c>
      <c r="P42" s="7">
        <f t="shared" si="4"/>
        <v>13.764383561643836</v>
      </c>
      <c r="Q42" s="39">
        <f t="shared" si="5"/>
        <v>38.632876712328766</v>
      </c>
      <c r="R42" s="23"/>
      <c r="T42" s="81">
        <f>IF(Q42&lt;=Assumptions!$E$43,Assumptions!$E$43-Q42,Assumptions!$E$45)</f>
        <v>26.367123287671234</v>
      </c>
      <c r="U42" s="191">
        <f t="shared" si="6"/>
        <v>13.764383561643836</v>
      </c>
      <c r="V42" s="277">
        <f>((O42*(1-(1+Assumptions!$G$40)^(-1*(G42-Q42))))/Assumptions!$G$40)-((O42*(1-(1+Assumptions!$G$40)^(-1*(T42))))/Assumptions!$G$40)</f>
        <v>16587.36650847728</v>
      </c>
      <c r="W42" s="277">
        <f>((O42*(1-(1+Assumptions!$G$46)^(-1*(G42-Q42))))/Assumptions!$G$46)-((O42*(1-(1+Assumptions!$G$46)^(-1*(T42))))/Assumptions!$G$46)</f>
        <v>43944.842899639421</v>
      </c>
      <c r="X42" s="121">
        <f>IF($P42&gt;29.999,(VLOOKUP($N42,Assumptions!$B$24:$J$34,7,FALSE)),(VLOOKUP($N42,Assumptions!$B$24:$J$34,7,FALSE)/30*$P42))</f>
        <v>3211.6894977168954</v>
      </c>
      <c r="Y42" s="121">
        <f>IF($P42&gt;29.999,(VLOOKUP($N42,Assumptions!$B$24:$J$34,8,FALSE)),(VLOOKUP($N42,Assumptions!$B$24:$J$34,8,FALSE)/30*$P42))</f>
        <v>3670.5022831050233</v>
      </c>
      <c r="Z42" s="121">
        <f>IF($P42&gt;29.999,(VLOOKUP($N42,Assumptions!$B$24:$J$34,9,FALSE)),(VLOOKUP($N42,Assumptions!$B$24:$J$34,9,FALSE)/30*$P42))</f>
        <v>3211.6894977168954</v>
      </c>
      <c r="AA42" s="148">
        <f>((X42*(1-(1+Assumptions!$H$40)^(-1*(G42-Q42))))/Assumptions!$H$40)-((X42*(1-(1+Assumptions!$H$40)^(-1*(T42))))/Assumptions!$H$40)</f>
        <v>3225.3212655372408</v>
      </c>
      <c r="AB42" s="148">
        <f>((Y42*(1-(1+Assumptions!$I$40)^(-1*(G42-Q42))))/Assumptions!$I$40)-((Y42*(1-(1+Assumptions!$I$40)^(-1*(T42))))/Assumptions!$I$40)</f>
        <v>3686.0814463282732</v>
      </c>
      <c r="AC42" s="148">
        <f>((Z42*(1-(1+Assumptions!$J$40)^(-1*(G42-Q42))))/Assumptions!$J$40)-((Z42*(1-(1+Assumptions!$J$40)^(-1*(T42))))/Assumptions!$J$40)</f>
        <v>3225.3212655372408</v>
      </c>
      <c r="AD42" s="148">
        <f>((X42*(1-(1+Assumptions!$H$46)^(-1*(G42-Q42))))/Assumptions!$H$46)-((X42*(1-(1+Assumptions!$H$46)^(-1*(T42))))/Assumptions!$H$46)</f>
        <v>8544.8305638187812</v>
      </c>
      <c r="AE42" s="148">
        <f>((Y42*(1-(1+Assumptions!$I$46)^(-1*(G42-Q42))))/Assumptions!$I$46)-((Y42*(1-(1+Assumptions!$I$46)^(-1*(T42))))/Assumptions!$I$46)</f>
        <v>9765.5206443643183</v>
      </c>
      <c r="AF42" s="148">
        <f>((Z42*(1-(1+Assumptions!$J$46)^(-1*(G42-Q42))))/Assumptions!$J$46)-((Z42*(1-(1+Assumptions!$J$46)^(-1*(T42))))/Assumptions!$J$46)</f>
        <v>8544.8305638187812</v>
      </c>
      <c r="AG42" s="145">
        <v>37134</v>
      </c>
      <c r="AH42" s="148">
        <f>((AI42*(1-(1+Assumptions!$M$40)^(-1*(G42-Q42))))/Assumptions!$M$40)-((AI42*(1-(1+Assumptions!$M$40)^(-1*(T42))))/Assumptions!$M$40)</f>
        <v>53266.978317343339</v>
      </c>
      <c r="AI42" s="409">
        <f>IF(P42&gt;29.999,(VLOOKUP(N42,Assumptions!$B$24:$M$34,12,FALSE)),(VLOOKUP(N42,Assumptions!$B$24:$M$34,12,FALSE)/30*P42))</f>
        <v>16517.260273972603</v>
      </c>
      <c r="AJ42" s="148">
        <f>((AI42*(1-(1+Assumptions!$L$40)^(-1*(G42-Q42))))/Assumptions!$L$40)-((AI42*(1-(1+Assumptions!$L$40)^(-1*(T42))))/Assumptions!$L$40)</f>
        <v>16587.36650847728</v>
      </c>
      <c r="AK42" s="148">
        <f>((AI42*(1-(1+Assumptions!$L$46)^(-1*(G42-Q42))))/Assumptions!$L$46)-((AI42*(1-(1+Assumptions!$L$46)^(-1*(T42))))/Assumptions!$L$46)</f>
        <v>43944.842899639421</v>
      </c>
      <c r="AL42" s="148">
        <f>IF(Q42&gt;Assumptions!$L$3,W42,0)</f>
        <v>0</v>
      </c>
      <c r="AM42" s="3"/>
      <c r="AN42" s="3"/>
      <c r="AO42" s="114"/>
      <c r="AP42" s="116"/>
      <c r="AQ42" s="114"/>
      <c r="AR42" s="116"/>
    </row>
    <row r="43" spans="1:44" x14ac:dyDescent="0.2">
      <c r="A43" s="3" t="s">
        <v>104</v>
      </c>
      <c r="B43" s="189">
        <f t="shared" si="3"/>
        <v>39</v>
      </c>
      <c r="D43" s="503" t="s">
        <v>371</v>
      </c>
      <c r="E43" s="255"/>
      <c r="F43" s="36" t="s">
        <v>6</v>
      </c>
      <c r="G43" s="5">
        <f>IF(F43="f",Assumptions!$E$39,Assumptions!$E$38)</f>
        <v>81.8</v>
      </c>
      <c r="H43" s="114">
        <v>12949</v>
      </c>
      <c r="I43" s="116">
        <v>22980</v>
      </c>
      <c r="J43" s="22"/>
      <c r="K43" s="22"/>
      <c r="L43" s="91">
        <f>(((H43+(Assumptions!$E$43*365))-I43))/365</f>
        <v>37.517808219178079</v>
      </c>
      <c r="M43" s="240"/>
      <c r="N43" s="125" t="s">
        <v>227</v>
      </c>
      <c r="O43" s="121">
        <f>IF($P43&gt;29.999,(VLOOKUP($N43,Assumptions!$B$24:$J$34,6,FALSE)),(VLOOKUP($N43,Assumptions!$B$24:$J$34,6,FALSE)/30*$P43))</f>
        <v>36000</v>
      </c>
      <c r="P43" s="7">
        <f t="shared" si="4"/>
        <v>38.778082191780825</v>
      </c>
      <c r="Q43" s="39">
        <f t="shared" si="5"/>
        <v>66.260273972602747</v>
      </c>
      <c r="R43" s="23"/>
      <c r="T43" s="81">
        <f>IF(Q43&lt;=Assumptions!$E$43,Assumptions!$E$43-Q43,Assumptions!$E$45)</f>
        <v>3</v>
      </c>
      <c r="U43" s="191">
        <f t="shared" si="6"/>
        <v>38.778082191780825</v>
      </c>
      <c r="V43" s="277">
        <f>((O43*(1-(1+Assumptions!$G$40)^(-1*(G43-Q43))))/Assumptions!$G$40)-((O43*(1-(1+Assumptions!$G$40)^(-1*(T43))))/Assumptions!$G$40)</f>
        <v>204048.9722509</v>
      </c>
      <c r="W43" s="277">
        <f>((O43*(1-(1+Assumptions!$G$46)^(-1*(G43-Q43))))/Assumptions!$G$46)-((O43*(1-(1+Assumptions!$G$46)^(-1*(T43))))/Assumptions!$G$46)</f>
        <v>259834.81344222411</v>
      </c>
      <c r="X43" s="121">
        <f>IF($P43&gt;29.999,(VLOOKUP($N43,Assumptions!$B$24:$J$34,7,FALSE)),(VLOOKUP($N43,Assumptions!$B$24:$J$34,7,FALSE)/30*$P43))</f>
        <v>28500</v>
      </c>
      <c r="Y43" s="121">
        <f>IF($P43&gt;29.999,(VLOOKUP($N43,Assumptions!$B$24:$J$34,8,FALSE)),(VLOOKUP($N43,Assumptions!$B$24:$J$34,8,FALSE)/30*$P43))</f>
        <v>36000</v>
      </c>
      <c r="Z43" s="121">
        <f>IF($P43&gt;29.999,(VLOOKUP($N43,Assumptions!$B$24:$J$34,9,FALSE)),(VLOOKUP($N43,Assumptions!$B$24:$J$34,9,FALSE)/30*$P43))</f>
        <v>35000</v>
      </c>
      <c r="AA43" s="148">
        <f>((X43*(1-(1+Assumptions!$H$40)^(-1*(G43-Q43))))/Assumptions!$H$40)-((X43*(1-(1+Assumptions!$H$40)^(-1*(T43))))/Assumptions!$H$40)</f>
        <v>161538.76969862916</v>
      </c>
      <c r="AB43" s="148">
        <f>((Y43*(1-(1+Assumptions!$I$40)^(-1*(G43-Q43))))/Assumptions!$I$40)-((Y43*(1-(1+Assumptions!$I$40)^(-1*(T43))))/Assumptions!$I$40)</f>
        <v>204048.9722509</v>
      </c>
      <c r="AC43" s="148">
        <f>((Z43*(1-(1+Assumptions!$J$40)^(-1*(G43-Q43))))/Assumptions!$J$40)-((Z43*(1-(1+Assumptions!$J$40)^(-1*(T43))))/Assumptions!$J$40)</f>
        <v>198380.94524393056</v>
      </c>
      <c r="AD43" s="148">
        <f>((X43*(1-(1+Assumptions!$H$46)^(-1*(G43-Q43))))/Assumptions!$H$46)-((X43*(1-(1+Assumptions!$H$46)^(-1*(T43))))/Assumptions!$H$46)</f>
        <v>205702.56064176071</v>
      </c>
      <c r="AE43" s="148">
        <f>((Y43*(1-(1+Assumptions!$I$46)^(-1*(G43-Q43))))/Assumptions!$I$46)-((Y43*(1-(1+Assumptions!$I$46)^(-1*(T43))))/Assumptions!$I$46)</f>
        <v>259834.81344222411</v>
      </c>
      <c r="AF43" s="148">
        <f>((Z43*(1-(1+Assumptions!$J$46)^(-1*(G43-Q43))))/Assumptions!$J$46)-((Z43*(1-(1+Assumptions!$J$46)^(-1*(T43))))/Assumptions!$J$46)</f>
        <v>252617.17973549568</v>
      </c>
      <c r="AG43" s="145">
        <v>37134</v>
      </c>
      <c r="AH43" s="148">
        <f>((AI43*(1-(1+Assumptions!$M$40)^(-1*(G43-Q43))))/Assumptions!$M$40)-((AI43*(1-(1+Assumptions!$M$40)^(-1*(T43))))/Assumptions!$M$40)</f>
        <v>272578.55298349302</v>
      </c>
      <c r="AI43" s="409">
        <f>IF(P43&gt;29.999,(VLOOKUP(N43,Assumptions!$B$24:$M$34,12,FALSE)),(VLOOKUP(N43,Assumptions!$B$24:$M$34,12,FALSE)/30*P43))</f>
        <v>36000</v>
      </c>
      <c r="AJ43" s="148">
        <f>((AI43*(1-(1+Assumptions!$L$40)^(-1*(G43-Q43))))/Assumptions!$L$40)-((AI43*(1-(1+Assumptions!$L$40)^(-1*(T43))))/Assumptions!$L$40)</f>
        <v>204048.9722509</v>
      </c>
      <c r="AK43" s="148">
        <f>((AI43*(1-(1+Assumptions!$L$46)^(-1*(G43-Q43))))/Assumptions!$L$46)-((AI43*(1-(1+Assumptions!$L$46)^(-1*(T43))))/Assumptions!$L$46)</f>
        <v>259834.81344222411</v>
      </c>
      <c r="AL43" s="148">
        <f>IF(Q43&gt;Assumptions!$L$3,W43,0)</f>
        <v>259834.81344222411</v>
      </c>
      <c r="AM43" s="3"/>
      <c r="AN43" s="3"/>
      <c r="AO43" s="114"/>
      <c r="AP43" s="116"/>
      <c r="AQ43" s="114"/>
      <c r="AR43" s="116"/>
    </row>
    <row r="44" spans="1:44" x14ac:dyDescent="0.2">
      <c r="A44" s="3" t="s">
        <v>104</v>
      </c>
      <c r="B44" s="189">
        <f t="shared" si="3"/>
        <v>40</v>
      </c>
      <c r="D44" s="503" t="s">
        <v>372</v>
      </c>
      <c r="E44" s="255"/>
      <c r="F44" s="36" t="s">
        <v>6</v>
      </c>
      <c r="G44" s="5">
        <f>IF(F44="f",Assumptions!$E$39,Assumptions!$E$38)</f>
        <v>81.8</v>
      </c>
      <c r="H44" s="114">
        <v>15152</v>
      </c>
      <c r="I44" s="116">
        <v>28099</v>
      </c>
      <c r="J44" s="22"/>
      <c r="K44" s="22"/>
      <c r="L44" s="91">
        <f>(((H44+(Assumptions!$E$43*365))-I44))/365</f>
        <v>29.528767123287672</v>
      </c>
      <c r="M44" s="240"/>
      <c r="N44" s="125" t="s">
        <v>226</v>
      </c>
      <c r="O44" s="121">
        <f>IF($P44&gt;29.999,(VLOOKUP($N44,Assumptions!$B$24:$J$34,6,FALSE)),(VLOOKUP($N44,Assumptions!$B$24:$J$34,6,FALSE)/30*$P44))</f>
        <v>29704.109589041094</v>
      </c>
      <c r="P44" s="7">
        <f t="shared" si="4"/>
        <v>24.753424657534246</v>
      </c>
      <c r="Q44" s="39">
        <f t="shared" si="5"/>
        <v>60.224657534246575</v>
      </c>
      <c r="R44" s="23"/>
      <c r="T44" s="81">
        <f>IF(Q44&lt;=Assumptions!$E$43,Assumptions!$E$43-Q44,Assumptions!$E$45)</f>
        <v>4.7753424657534254</v>
      </c>
      <c r="U44" s="191">
        <f t="shared" si="6"/>
        <v>24.753424657534246</v>
      </c>
      <c r="V44" s="277">
        <f>((O44*(1-(1+Assumptions!$G$40)^(-1*(G44-Q44))))/Assumptions!$G$40)-((O44*(1-(1+Assumptions!$G$40)^(-1*(T44))))/Assumptions!$G$40)</f>
        <v>167286.08373684733</v>
      </c>
      <c r="W44" s="277">
        <f>((O44*(1-(1+Assumptions!$G$46)^(-1*(G44-Q44))))/Assumptions!$G$46)-((O44*(1-(1+Assumptions!$G$46)^(-1*(T44))))/Assumptions!$G$46)</f>
        <v>232366.40654224704</v>
      </c>
      <c r="X44" s="121">
        <f>IF($P44&gt;29.999,(VLOOKUP($N44,Assumptions!$B$24:$J$34,7,FALSE)),(VLOOKUP($N44,Assumptions!$B$24:$J$34,7,FALSE)/30*$P44))</f>
        <v>23515.753424657534</v>
      </c>
      <c r="Y44" s="121">
        <f>IF($P44&gt;29.999,(VLOOKUP($N44,Assumptions!$B$24:$J$34,8,FALSE)),(VLOOKUP($N44,Assumptions!$B$24:$J$34,8,FALSE)/30*$P44))</f>
        <v>29704.109589041094</v>
      </c>
      <c r="Z44" s="121">
        <f>IF($P44&gt;29.999,(VLOOKUP($N44,Assumptions!$B$24:$J$34,9,FALSE)),(VLOOKUP($N44,Assumptions!$B$24:$J$34,9,FALSE)/30*$P44))</f>
        <v>26403.652968036531</v>
      </c>
      <c r="AA44" s="148">
        <f>((X44*(1-(1+Assumptions!$H$40)^(-1*(G44-Q44))))/Assumptions!$H$40)-((X44*(1-(1+Assumptions!$H$40)^(-1*(T44))))/Assumptions!$H$40)</f>
        <v>132434.81629167078</v>
      </c>
      <c r="AB44" s="148">
        <f>((Y44*(1-(1+Assumptions!$I$40)^(-1*(G44-Q44))))/Assumptions!$I$40)-((Y44*(1-(1+Assumptions!$I$40)^(-1*(T44))))/Assumptions!$I$40)</f>
        <v>167286.08373684733</v>
      </c>
      <c r="AC44" s="148">
        <f>((Z44*(1-(1+Assumptions!$J$40)^(-1*(G44-Q44))))/Assumptions!$J$40)-((Z44*(1-(1+Assumptions!$J$40)^(-1*(T44))))/Assumptions!$J$40)</f>
        <v>148698.74109941986</v>
      </c>
      <c r="AD44" s="148">
        <f>((X44*(1-(1+Assumptions!$H$46)^(-1*(G44-Q44))))/Assumptions!$H$46)-((X44*(1-(1+Assumptions!$H$46)^(-1*(T44))))/Assumptions!$H$46)</f>
        <v>183956.73851261227</v>
      </c>
      <c r="AE44" s="148">
        <f>((Y44*(1-(1+Assumptions!$I$46)^(-1*(G44-Q44))))/Assumptions!$I$46)-((Y44*(1-(1+Assumptions!$I$46)^(-1*(T44))))/Assumptions!$I$46)</f>
        <v>232366.40654224704</v>
      </c>
      <c r="AF44" s="148">
        <f>((Z44*(1-(1+Assumptions!$J$46)^(-1*(G44-Q44))))/Assumptions!$J$46)-((Z44*(1-(1+Assumptions!$J$46)^(-1*(T44))))/Assumptions!$J$46)</f>
        <v>206547.91692644189</v>
      </c>
      <c r="AG44" s="145">
        <v>37134</v>
      </c>
      <c r="AH44" s="148">
        <f>((AI44*(1-(1+Assumptions!$M$40)^(-1*(G44-Q44))))/Assumptions!$M$40)-((AI44*(1-(1+Assumptions!$M$40)^(-1*(T44))))/Assumptions!$M$40)</f>
        <v>248102.87806116277</v>
      </c>
      <c r="AI44" s="409">
        <f>IF(P44&gt;29.999,(VLOOKUP(N44,Assumptions!$B$24:$M$34,12,FALSE)),(VLOOKUP(N44,Assumptions!$B$24:$M$34,12,FALSE)/30*P44))</f>
        <v>29704.109589041094</v>
      </c>
      <c r="AJ44" s="148">
        <f>((AI44*(1-(1+Assumptions!$L$40)^(-1*(G44-Q44))))/Assumptions!$L$40)-((AI44*(1-(1+Assumptions!$L$40)^(-1*(T44))))/Assumptions!$L$40)</f>
        <v>167286.08373684733</v>
      </c>
      <c r="AK44" s="148">
        <f>((AI44*(1-(1+Assumptions!$L$46)^(-1*(G44-Q44))))/Assumptions!$L$46)-((AI44*(1-(1+Assumptions!$L$46)^(-1*(T44))))/Assumptions!$L$46)</f>
        <v>232366.40654224704</v>
      </c>
      <c r="AL44" s="148">
        <f>IF(Q44&gt;Assumptions!$L$3,W44,0)</f>
        <v>232366.40654224704</v>
      </c>
      <c r="AM44" s="3"/>
      <c r="AN44" s="3"/>
      <c r="AO44" s="114"/>
      <c r="AP44" s="116"/>
      <c r="AQ44" s="114"/>
      <c r="AR44" s="116"/>
    </row>
    <row r="45" spans="1:44" x14ac:dyDescent="0.2">
      <c r="A45" s="3" t="s">
        <v>104</v>
      </c>
      <c r="B45" s="189">
        <f t="shared" si="3"/>
        <v>41</v>
      </c>
      <c r="D45" s="503" t="s">
        <v>373</v>
      </c>
      <c r="E45" s="255"/>
      <c r="F45" s="36" t="s">
        <v>5</v>
      </c>
      <c r="G45" s="5">
        <f>IF(F45="f",Assumptions!$E$39,Assumptions!$E$38)</f>
        <v>89.3</v>
      </c>
      <c r="H45" s="114">
        <v>20420</v>
      </c>
      <c r="I45" s="116">
        <v>28396</v>
      </c>
      <c r="J45" s="22"/>
      <c r="K45" s="22"/>
      <c r="L45" s="91">
        <f>(((H45+(Assumptions!$E$43*365))-I45))/365</f>
        <v>43.147945205479452</v>
      </c>
      <c r="M45" s="240"/>
      <c r="N45" s="125" t="s">
        <v>223</v>
      </c>
      <c r="O45" s="121">
        <f>IF($P45&gt;29.999,(VLOOKUP($N45,Assumptions!$B$24:$J$34,6,FALSE)),(VLOOKUP($N45,Assumptions!$B$24:$J$34,6,FALSE)/30*$P45))</f>
        <v>28727.671232876713</v>
      </c>
      <c r="P45" s="7">
        <f t="shared" si="4"/>
        <v>23.93972602739726</v>
      </c>
      <c r="Q45" s="39">
        <f t="shared" si="5"/>
        <v>45.791780821917811</v>
      </c>
      <c r="R45" s="23"/>
      <c r="T45" s="81">
        <f>IF(Q45&lt;=Assumptions!$E$43,Assumptions!$E$43-Q45,Assumptions!$E$45)</f>
        <v>19.208219178082189</v>
      </c>
      <c r="U45" s="191">
        <f t="shared" si="6"/>
        <v>23.93972602739726</v>
      </c>
      <c r="V45" s="277">
        <f>((O45*(1-(1+Assumptions!$G$40)^(-1*(G45-Q45))))/Assumptions!$G$40)-((O45*(1-(1+Assumptions!$G$40)^(-1*(T45))))/Assumptions!$G$40)</f>
        <v>53465.367992180283</v>
      </c>
      <c r="W45" s="277">
        <f>((O45*(1-(1+Assumptions!$G$46)^(-1*(G45-Q45))))/Assumptions!$G$46)-((O45*(1-(1+Assumptions!$G$46)^(-1*(T45))))/Assumptions!$G$46)</f>
        <v>116464.06467834063</v>
      </c>
      <c r="X45" s="121">
        <f>IF($P45&gt;29.999,(VLOOKUP($N45,Assumptions!$B$24:$J$34,7,FALSE)),(VLOOKUP($N45,Assumptions!$B$24:$J$34,7,FALSE)/30*$P45))</f>
        <v>13565.844748858446</v>
      </c>
      <c r="Y45" s="121">
        <f>IF($P45&gt;29.999,(VLOOKUP($N45,Assumptions!$B$24:$J$34,8,FALSE)),(VLOOKUP($N45,Assumptions!$B$24:$J$34,8,FALSE)/30*$P45))</f>
        <v>16757.808219178081</v>
      </c>
      <c r="Z45" s="121">
        <f>IF($P45&gt;29.999,(VLOOKUP($N45,Assumptions!$B$24:$J$34,9,FALSE)),(VLOOKUP($N45,Assumptions!$B$24:$J$34,9,FALSE)/30*$P45))</f>
        <v>13565.844748858446</v>
      </c>
      <c r="AA45" s="148">
        <f>((X45*(1-(1+Assumptions!$H$40)^(-1*(G45-Q45))))/Assumptions!$H$40)-((X45*(1-(1+Assumptions!$H$40)^(-1*(T45))))/Assumptions!$H$40)</f>
        <v>25247.534885196248</v>
      </c>
      <c r="AB45" s="148">
        <f>((Y45*(1-(1+Assumptions!$I$40)^(-1*(G45-Q45))))/Assumptions!$I$40)-((Y45*(1-(1+Assumptions!$I$40)^(-1*(T45))))/Assumptions!$I$40)</f>
        <v>31188.131328771822</v>
      </c>
      <c r="AC45" s="148">
        <f>((Z45*(1-(1+Assumptions!$J$40)^(-1*(G45-Q45))))/Assumptions!$J$40)-((Z45*(1-(1+Assumptions!$J$40)^(-1*(T45))))/Assumptions!$J$40)</f>
        <v>25247.534885196248</v>
      </c>
      <c r="AD45" s="148">
        <f>((X45*(1-(1+Assumptions!$H$46)^(-1*(G45-Q45))))/Assumptions!$H$46)-((X45*(1-(1+Assumptions!$H$46)^(-1*(T45))))/Assumptions!$H$46)</f>
        <v>54996.919431438611</v>
      </c>
      <c r="AE45" s="148">
        <f>((Y45*(1-(1+Assumptions!$I$46)^(-1*(G45-Q45))))/Assumptions!$I$46)-((Y45*(1-(1+Assumptions!$I$46)^(-1*(T45))))/Assumptions!$I$46)</f>
        <v>67937.37106236539</v>
      </c>
      <c r="AF45" s="148">
        <f>((Z45*(1-(1+Assumptions!$J$46)^(-1*(G45-Q45))))/Assumptions!$J$46)-((Z45*(1-(1+Assumptions!$J$46)^(-1*(T45))))/Assumptions!$J$46)</f>
        <v>54996.919431438611</v>
      </c>
      <c r="AG45" s="145">
        <v>37134</v>
      </c>
      <c r="AH45" s="148">
        <f>((AI45*(1-(1+Assumptions!$M$40)^(-1*(G45-Q45))))/Assumptions!$M$40)-((AI45*(1-(1+Assumptions!$M$40)^(-1*(T45))))/Assumptions!$M$40)</f>
        <v>135919.76021040324</v>
      </c>
      <c r="AI45" s="409">
        <f>IF(P45&gt;29.999,(VLOOKUP(N45,Assumptions!$B$24:$M$34,12,FALSE)),(VLOOKUP(N45,Assumptions!$B$24:$M$34,12,FALSE)/30*P45))</f>
        <v>28727.671232876713</v>
      </c>
      <c r="AJ45" s="148">
        <f>((AI45*(1-(1+Assumptions!$L$40)^(-1*(G45-Q45))))/Assumptions!$L$40)-((AI45*(1-(1+Assumptions!$L$40)^(-1*(T45))))/Assumptions!$L$40)</f>
        <v>53465.367992180283</v>
      </c>
      <c r="AK45" s="148">
        <f>((AI45*(1-(1+Assumptions!$L$46)^(-1*(G45-Q45))))/Assumptions!$L$46)-((AI45*(1-(1+Assumptions!$L$46)^(-1*(T45))))/Assumptions!$L$46)</f>
        <v>116464.06467834063</v>
      </c>
      <c r="AL45" s="148">
        <f>IF(Q45&gt;Assumptions!$L$3,W45,0)</f>
        <v>0</v>
      </c>
      <c r="AM45" s="3"/>
      <c r="AN45" s="3"/>
      <c r="AO45" s="114"/>
      <c r="AP45" s="116"/>
      <c r="AQ45" s="114"/>
      <c r="AR45" s="116"/>
    </row>
    <row r="46" spans="1:44" x14ac:dyDescent="0.2">
      <c r="A46" s="3" t="s">
        <v>104</v>
      </c>
      <c r="B46" s="189">
        <f t="shared" si="3"/>
        <v>42</v>
      </c>
      <c r="D46" s="503" t="s">
        <v>374</v>
      </c>
      <c r="E46" s="255"/>
      <c r="F46" s="36" t="s">
        <v>6</v>
      </c>
      <c r="G46" s="5">
        <f>IF(F46="f",Assumptions!$E$39,Assumptions!$E$38)</f>
        <v>81.8</v>
      </c>
      <c r="H46" s="114">
        <v>20355</v>
      </c>
      <c r="I46" s="116">
        <v>34672</v>
      </c>
      <c r="J46" s="22"/>
      <c r="K46" s="22"/>
      <c r="L46" s="91">
        <f>(((H46+(Assumptions!$E$43*365))-I46))/365</f>
        <v>25.775342465753425</v>
      </c>
      <c r="M46" s="240"/>
      <c r="N46" s="125" t="s">
        <v>223</v>
      </c>
      <c r="O46" s="121">
        <f>IF($P46&gt;29.999,(VLOOKUP($N46,Assumptions!$B$24:$J$34,6,FALSE)),(VLOOKUP($N46,Assumptions!$B$24:$J$34,6,FALSE)/30*$P46))</f>
        <v>8094.2465753424649</v>
      </c>
      <c r="P46" s="7">
        <f t="shared" si="4"/>
        <v>6.7452054794520544</v>
      </c>
      <c r="Q46" s="39">
        <f t="shared" si="5"/>
        <v>45.969863013698628</v>
      </c>
      <c r="R46" s="23"/>
      <c r="T46" s="81">
        <f>IF(Q46&lt;=Assumptions!$E$43,Assumptions!$E$43-Q46,Assumptions!$E$45)</f>
        <v>19.030136986301372</v>
      </c>
      <c r="U46" s="191">
        <f t="shared" si="6"/>
        <v>6.7452054794520544</v>
      </c>
      <c r="V46" s="277">
        <f>((O46*(1-(1+Assumptions!$G$40)^(-1*(G46-Q46))))/Assumptions!$G$40)-((O46*(1-(1+Assumptions!$G$40)^(-1*(T46))))/Assumptions!$G$40)</f>
        <v>13344.818398938325</v>
      </c>
      <c r="W46" s="277">
        <f>((O46*(1-(1+Assumptions!$G$46)^(-1*(G46-Q46))))/Assumptions!$G$46)-((O46*(1-(1+Assumptions!$G$46)^(-1*(T46))))/Assumptions!$G$46)</f>
        <v>27371.594729964447</v>
      </c>
      <c r="X46" s="121">
        <f>IF($P46&gt;29.999,(VLOOKUP($N46,Assumptions!$B$24:$J$34,7,FALSE)),(VLOOKUP($N46,Assumptions!$B$24:$J$34,7,FALSE)/30*$P46))</f>
        <v>3822.2831050228306</v>
      </c>
      <c r="Y46" s="121">
        <f>IF($P46&gt;29.999,(VLOOKUP($N46,Assumptions!$B$24:$J$34,8,FALSE)),(VLOOKUP($N46,Assumptions!$B$24:$J$34,8,FALSE)/30*$P46))</f>
        <v>4721.6438356164381</v>
      </c>
      <c r="Z46" s="121">
        <f>IF($P46&gt;29.999,(VLOOKUP($N46,Assumptions!$B$24:$J$34,9,FALSE)),(VLOOKUP($N46,Assumptions!$B$24:$J$34,9,FALSE)/30*$P46))</f>
        <v>3822.2831050228306</v>
      </c>
      <c r="AA46" s="148">
        <f>((X46*(1-(1+Assumptions!$H$40)^(-1*(G46-Q46))))/Assumptions!$H$40)-((X46*(1-(1+Assumptions!$H$40)^(-1*(T46))))/Assumptions!$H$40)</f>
        <v>6301.7197994986491</v>
      </c>
      <c r="AB46" s="148">
        <f>((Y46*(1-(1+Assumptions!$I$40)^(-1*(G46-Q46))))/Assumptions!$I$40)-((Y46*(1-(1+Assumptions!$I$40)^(-1*(T46))))/Assumptions!$I$40)</f>
        <v>7784.4773993806812</v>
      </c>
      <c r="AC46" s="148">
        <f>((Z46*(1-(1+Assumptions!$J$40)^(-1*(G46-Q46))))/Assumptions!$J$40)-((Z46*(1-(1+Assumptions!$J$40)^(-1*(T46))))/Assumptions!$J$40)</f>
        <v>6301.7197994986491</v>
      </c>
      <c r="AD46" s="148">
        <f>((X46*(1-(1+Assumptions!$H$46)^(-1*(G46-Q46))))/Assumptions!$H$46)-((X46*(1-(1+Assumptions!$H$46)^(-1*(T46))))/Assumptions!$H$46)</f>
        <v>12925.475289149887</v>
      </c>
      <c r="AE46" s="148">
        <f>((Y46*(1-(1+Assumptions!$I$46)^(-1*(G46-Q46))))/Assumptions!$I$46)-((Y46*(1-(1+Assumptions!$I$46)^(-1*(T46))))/Assumptions!$I$46)</f>
        <v>15966.763592479256</v>
      </c>
      <c r="AF46" s="148">
        <f>((Z46*(1-(1+Assumptions!$J$46)^(-1*(G46-Q46))))/Assumptions!$J$46)-((Z46*(1-(1+Assumptions!$J$46)^(-1*(T46))))/Assumptions!$J$46)</f>
        <v>12925.475289149887</v>
      </c>
      <c r="AG46" s="145">
        <v>37134</v>
      </c>
      <c r="AH46" s="148">
        <f>((AI46*(1-(1+Assumptions!$M$40)^(-1*(G46-Q46))))/Assumptions!$M$40)-((AI46*(1-(1+Assumptions!$M$40)^(-1*(T46))))/Assumptions!$M$40)</f>
        <v>31516.113783719789</v>
      </c>
      <c r="AI46" s="409">
        <f>IF(P46&gt;29.999,(VLOOKUP(N46,Assumptions!$B$24:$M$34,12,FALSE)),(VLOOKUP(N46,Assumptions!$B$24:$M$34,12,FALSE)/30*P46))</f>
        <v>8094.2465753424649</v>
      </c>
      <c r="AJ46" s="148">
        <f>((AI46*(1-(1+Assumptions!$L$40)^(-1*(G46-Q46))))/Assumptions!$L$40)-((AI46*(1-(1+Assumptions!$L$40)^(-1*(T46))))/Assumptions!$L$40)</f>
        <v>13344.818398938325</v>
      </c>
      <c r="AK46" s="148">
        <f>((AI46*(1-(1+Assumptions!$L$46)^(-1*(G46-Q46))))/Assumptions!$L$46)-((AI46*(1-(1+Assumptions!$L$46)^(-1*(T46))))/Assumptions!$L$46)</f>
        <v>27371.594729964447</v>
      </c>
      <c r="AL46" s="148">
        <f>IF(Q46&gt;Assumptions!$L$3,W46,0)</f>
        <v>0</v>
      </c>
      <c r="AM46" s="3"/>
      <c r="AN46" s="3"/>
      <c r="AO46" s="114"/>
      <c r="AP46" s="116"/>
      <c r="AQ46" s="114"/>
      <c r="AR46" s="116"/>
    </row>
    <row r="47" spans="1:44" x14ac:dyDescent="0.2">
      <c r="A47" s="3" t="s">
        <v>104</v>
      </c>
      <c r="B47" s="189">
        <f t="shared" si="3"/>
        <v>43</v>
      </c>
      <c r="D47" s="503" t="s">
        <v>375</v>
      </c>
      <c r="E47" s="255"/>
      <c r="F47" s="36" t="s">
        <v>6</v>
      </c>
      <c r="G47" s="5">
        <f>IF(F47="f",Assumptions!$E$39,Assumptions!$E$38)</f>
        <v>81.8</v>
      </c>
      <c r="H47" s="114">
        <v>14167</v>
      </c>
      <c r="I47" s="116">
        <v>24467</v>
      </c>
      <c r="J47" s="22"/>
      <c r="K47" s="22"/>
      <c r="L47" s="91">
        <f>(((H47+(Assumptions!$E$43*365))-I47))/365</f>
        <v>36.780821917808218</v>
      </c>
      <c r="M47" s="240"/>
      <c r="N47" s="125" t="s">
        <v>226</v>
      </c>
      <c r="O47" s="121">
        <f>IF($P47&gt;29.999,(VLOOKUP($N47,Assumptions!$B$24:$J$34,6,FALSE)),(VLOOKUP($N47,Assumptions!$B$24:$J$34,6,FALSE)/30*$P47))</f>
        <v>36000</v>
      </c>
      <c r="P47" s="7">
        <f t="shared" si="4"/>
        <v>34.704109589041096</v>
      </c>
      <c r="Q47" s="39">
        <f t="shared" si="5"/>
        <v>62.923287671232877</v>
      </c>
      <c r="R47" s="23"/>
      <c r="T47" s="81">
        <f>IF(Q47&lt;=Assumptions!$E$43,Assumptions!$E$43-Q47,Assumptions!$E$45)</f>
        <v>2.0767123287671225</v>
      </c>
      <c r="U47" s="191">
        <f t="shared" si="6"/>
        <v>34.704109589041096</v>
      </c>
      <c r="V47" s="277">
        <f>((O47*(1-(1+Assumptions!$G$40)^(-1*(G47-Q47))))/Assumptions!$G$40)-((O47*(1-(1+Assumptions!$G$40)^(-1*(T47))))/Assumptions!$G$40)</f>
        <v>255826.80779410899</v>
      </c>
      <c r="W47" s="277">
        <f>((O47*(1-(1+Assumptions!$G$46)^(-1*(G47-Q47))))/Assumptions!$G$46)-((O47*(1-(1+Assumptions!$G$46)^(-1*(T47))))/Assumptions!$G$46)</f>
        <v>330075.79913548636</v>
      </c>
      <c r="X47" s="121">
        <f>IF($P47&gt;29.999,(VLOOKUP($N47,Assumptions!$B$24:$J$34,7,FALSE)),(VLOOKUP($N47,Assumptions!$B$24:$J$34,7,FALSE)/30*$P47))</f>
        <v>28500</v>
      </c>
      <c r="Y47" s="121">
        <f>IF($P47&gt;29.999,(VLOOKUP($N47,Assumptions!$B$24:$J$34,8,FALSE)),(VLOOKUP($N47,Assumptions!$B$24:$J$34,8,FALSE)/30*$P47))</f>
        <v>36000</v>
      </c>
      <c r="Z47" s="121">
        <f>IF($P47&gt;29.999,(VLOOKUP($N47,Assumptions!$B$24:$J$34,9,FALSE)),(VLOOKUP($N47,Assumptions!$B$24:$J$34,9,FALSE)/30*$P47))</f>
        <v>32000</v>
      </c>
      <c r="AA47" s="148">
        <f>((X47*(1-(1+Assumptions!$H$40)^(-1*(G47-Q47))))/Assumptions!$H$40)-((X47*(1-(1+Assumptions!$H$40)^(-1*(T47))))/Assumptions!$H$40)</f>
        <v>202529.55617033626</v>
      </c>
      <c r="AB47" s="148">
        <f>((Y47*(1-(1+Assumptions!$I$40)^(-1*(G47-Q47))))/Assumptions!$I$40)-((Y47*(1-(1+Assumptions!$I$40)^(-1*(T47))))/Assumptions!$I$40)</f>
        <v>255826.80779410899</v>
      </c>
      <c r="AC47" s="148">
        <f>((Z47*(1-(1+Assumptions!$J$40)^(-1*(G47-Q47))))/Assumptions!$J$40)-((Z47*(1-(1+Assumptions!$J$40)^(-1*(T47))))/Assumptions!$J$40)</f>
        <v>227401.60692809685</v>
      </c>
      <c r="AD47" s="148">
        <f>((X47*(1-(1+Assumptions!$H$46)^(-1*(G47-Q47))))/Assumptions!$H$46)-((X47*(1-(1+Assumptions!$H$46)^(-1*(T47))))/Assumptions!$H$46)</f>
        <v>261310.00764892678</v>
      </c>
      <c r="AE47" s="148">
        <f>((Y47*(1-(1+Assumptions!$I$46)^(-1*(G47-Q47))))/Assumptions!$I$46)-((Y47*(1-(1+Assumptions!$I$46)^(-1*(T47))))/Assumptions!$I$46)</f>
        <v>330075.79913548636</v>
      </c>
      <c r="AF47" s="148">
        <f>((Z47*(1-(1+Assumptions!$J$46)^(-1*(G47-Q47))))/Assumptions!$J$46)-((Z47*(1-(1+Assumptions!$J$46)^(-1*(T47))))/Assumptions!$J$46)</f>
        <v>293400.71034265461</v>
      </c>
      <c r="AG47" s="145">
        <v>37134</v>
      </c>
      <c r="AH47" s="148">
        <f>((AI47*(1-(1+Assumptions!$M$40)^(-1*(G47-Q47))))/Assumptions!$M$40)-((AI47*(1-(1+Assumptions!$M$40)^(-1*(T47))))/Assumptions!$M$40)</f>
        <v>347430.18920399633</v>
      </c>
      <c r="AI47" s="409">
        <f>IF(P47&gt;29.999,(VLOOKUP(N47,Assumptions!$B$24:$M$34,12,FALSE)),(VLOOKUP(N47,Assumptions!$B$24:$M$34,12,FALSE)/30*P47))</f>
        <v>36000</v>
      </c>
      <c r="AJ47" s="148">
        <f>((AI47*(1-(1+Assumptions!$L$40)^(-1*(G47-Q47))))/Assumptions!$L$40)-((AI47*(1-(1+Assumptions!$L$40)^(-1*(T47))))/Assumptions!$L$40)</f>
        <v>255826.80779410899</v>
      </c>
      <c r="AK47" s="148">
        <f>((AI47*(1-(1+Assumptions!$L$46)^(-1*(G47-Q47))))/Assumptions!$L$46)-((AI47*(1-(1+Assumptions!$L$46)^(-1*(T47))))/Assumptions!$L$46)</f>
        <v>330075.79913548636</v>
      </c>
      <c r="AL47" s="148">
        <f>IF(Q47&gt;Assumptions!$L$3,W47,0)</f>
        <v>330075.79913548636</v>
      </c>
      <c r="AM47" s="3"/>
      <c r="AN47" s="3"/>
      <c r="AO47" s="114"/>
      <c r="AP47" s="116"/>
      <c r="AQ47" s="114"/>
      <c r="AR47" s="116"/>
    </row>
    <row r="48" spans="1:44" x14ac:dyDescent="0.2">
      <c r="A48" s="3" t="s">
        <v>104</v>
      </c>
      <c r="B48" s="189">
        <f t="shared" si="3"/>
        <v>44</v>
      </c>
      <c r="D48" s="503" t="s">
        <v>376</v>
      </c>
      <c r="E48" s="255"/>
      <c r="F48" s="36" t="s">
        <v>6</v>
      </c>
      <c r="G48" s="5">
        <f>IF(F48="f",Assumptions!$E$39,Assumptions!$E$38)</f>
        <v>81.8</v>
      </c>
      <c r="H48" s="114">
        <v>23739</v>
      </c>
      <c r="I48" s="116">
        <v>35036</v>
      </c>
      <c r="J48" s="22"/>
      <c r="K48" s="22"/>
      <c r="L48" s="91">
        <f>(((H48+(Assumptions!$E$43*365))-I48))/365</f>
        <v>34.049315068493151</v>
      </c>
      <c r="M48" s="240"/>
      <c r="N48" s="125" t="s">
        <v>222</v>
      </c>
      <c r="O48" s="121">
        <f>IF($P48&gt;29.999,(VLOOKUP($N48,Assumptions!$B$24:$J$34,6,FALSE)),(VLOOKUP($N48,Assumptions!$B$24:$J$34,6,FALSE)/30*$P48))</f>
        <v>6897.534246575342</v>
      </c>
      <c r="P48" s="7">
        <f t="shared" si="4"/>
        <v>5.7479452054794518</v>
      </c>
      <c r="Q48" s="39">
        <f t="shared" si="5"/>
        <v>36.698630136986303</v>
      </c>
      <c r="R48" s="23"/>
      <c r="T48" s="81">
        <f>IF(Q48&lt;=Assumptions!$E$43,Assumptions!$E$43-Q48,Assumptions!$E$45)</f>
        <v>28.301369863013697</v>
      </c>
      <c r="U48" s="191">
        <f t="shared" si="6"/>
        <v>5.7479452054794518</v>
      </c>
      <c r="V48" s="277">
        <f>((O48*(1-(1+Assumptions!$G$40)^(-1*(G48-Q48))))/Assumptions!$G$40)-((O48*(1-(1+Assumptions!$G$40)^(-1*(T48))))/Assumptions!$G$40)</f>
        <v>5114.9374274128349</v>
      </c>
      <c r="W48" s="277">
        <f>((O48*(1-(1+Assumptions!$G$46)^(-1*(G48-Q48))))/Assumptions!$G$46)-((O48*(1-(1+Assumptions!$G$46)^(-1*(T48))))/Assumptions!$G$46)</f>
        <v>13518.312794417696</v>
      </c>
      <c r="X48" s="121">
        <f>IF($P48&gt;29.999,(VLOOKUP($N48,Assumptions!$B$24:$J$34,7,FALSE)),(VLOOKUP($N48,Assumptions!$B$24:$J$34,7,FALSE)/30*$P48))</f>
        <v>1341.1872146118722</v>
      </c>
      <c r="Y48" s="121">
        <f>IF($P48&gt;29.999,(VLOOKUP($N48,Assumptions!$B$24:$J$34,8,FALSE)),(VLOOKUP($N48,Assumptions!$B$24:$J$34,8,FALSE)/30*$P48))</f>
        <v>1532.7853881278538</v>
      </c>
      <c r="Z48" s="121">
        <f>IF($P48&gt;29.999,(VLOOKUP($N48,Assumptions!$B$24:$J$34,9,FALSE)),(VLOOKUP($N48,Assumptions!$B$24:$J$34,9,FALSE)/30*$P48))</f>
        <v>1341.1872146118722</v>
      </c>
      <c r="AA48" s="148">
        <f>((X48*(1-(1+Assumptions!$H$40)^(-1*(G48-Q48))))/Assumptions!$H$40)-((X48*(1-(1+Assumptions!$H$40)^(-1*(T48))))/Assumptions!$H$40)</f>
        <v>994.57116644138296</v>
      </c>
      <c r="AB48" s="148">
        <f>((Y48*(1-(1+Assumptions!$I$40)^(-1*(G48-Q48))))/Assumptions!$I$40)-((Y48*(1-(1+Assumptions!$I$40)^(-1*(T48))))/Assumptions!$I$40)</f>
        <v>1136.652761647294</v>
      </c>
      <c r="AC48" s="148">
        <f>((Z48*(1-(1+Assumptions!$J$40)^(-1*(G48-Q48))))/Assumptions!$J$40)-((Z48*(1-(1+Assumptions!$J$40)^(-1*(T48))))/Assumptions!$J$40)</f>
        <v>994.57116644138296</v>
      </c>
      <c r="AD48" s="148">
        <f>((X48*(1-(1+Assumptions!$H$46)^(-1*(G48-Q48))))/Assumptions!$H$46)-((X48*(1-(1+Assumptions!$H$46)^(-1*(T48))))/Assumptions!$H$46)</f>
        <v>2628.5608211367726</v>
      </c>
      <c r="AE48" s="148">
        <f>((Y48*(1-(1+Assumptions!$I$46)^(-1*(G48-Q48))))/Assumptions!$I$46)-((Y48*(1-(1+Assumptions!$I$46)^(-1*(T48))))/Assumptions!$I$46)</f>
        <v>3004.0695098705983</v>
      </c>
      <c r="AF48" s="148">
        <f>((Z48*(1-(1+Assumptions!$J$46)^(-1*(G48-Q48))))/Assumptions!$J$46)-((Z48*(1-(1+Assumptions!$J$46)^(-1*(T48))))/Assumptions!$J$46)</f>
        <v>2628.5608211367726</v>
      </c>
      <c r="AG48" s="145">
        <v>37134</v>
      </c>
      <c r="AH48" s="148">
        <f>((AI48*(1-(1+Assumptions!$M$40)^(-1*(G48-Q48))))/Assumptions!$M$40)-((AI48*(1-(1+Assumptions!$M$40)^(-1*(T48))))/Assumptions!$M$40)</f>
        <v>16348.24459483409</v>
      </c>
      <c r="AI48" s="409">
        <f>IF(P48&gt;29.999,(VLOOKUP(N48,Assumptions!$B$24:$M$34,12,FALSE)),(VLOOKUP(N48,Assumptions!$B$24:$M$34,12,FALSE)/30*P48))</f>
        <v>6897.534246575342</v>
      </c>
      <c r="AJ48" s="148">
        <f>((AI48*(1-(1+Assumptions!$L$40)^(-1*(G48-Q48))))/Assumptions!$L$40)-((AI48*(1-(1+Assumptions!$L$40)^(-1*(T48))))/Assumptions!$L$40)</f>
        <v>5114.9374274128349</v>
      </c>
      <c r="AK48" s="148">
        <f>((AI48*(1-(1+Assumptions!$L$46)^(-1*(G48-Q48))))/Assumptions!$L$46)-((AI48*(1-(1+Assumptions!$L$46)^(-1*(T48))))/Assumptions!$L$46)</f>
        <v>13518.312794417696</v>
      </c>
      <c r="AL48" s="148">
        <f>IF(Q48&gt;Assumptions!$L$3,W48,0)</f>
        <v>0</v>
      </c>
      <c r="AM48" s="3"/>
      <c r="AN48" s="3"/>
      <c r="AO48" s="114"/>
      <c r="AP48" s="116"/>
      <c r="AQ48" s="114"/>
      <c r="AR48" s="116"/>
    </row>
    <row r="49" spans="1:44" x14ac:dyDescent="0.2">
      <c r="A49" s="3" t="s">
        <v>104</v>
      </c>
      <c r="B49" s="189">
        <f t="shared" si="3"/>
        <v>45</v>
      </c>
      <c r="D49" s="503" t="s">
        <v>377</v>
      </c>
      <c r="E49" s="255"/>
      <c r="F49" s="36" t="s">
        <v>6</v>
      </c>
      <c r="G49" s="5">
        <f>IF(F49="f",Assumptions!$E$39,Assumptions!$E$38)</f>
        <v>81.8</v>
      </c>
      <c r="H49" s="114">
        <v>13473</v>
      </c>
      <c r="I49" s="116">
        <v>25172</v>
      </c>
      <c r="J49" s="22"/>
      <c r="K49" s="22"/>
      <c r="L49" s="91">
        <f>(((H49+(Assumptions!$E$43*365))-I49))/365</f>
        <v>32.947945205479449</v>
      </c>
      <c r="M49" s="240"/>
      <c r="N49" s="125" t="s">
        <v>227</v>
      </c>
      <c r="O49" s="121">
        <f>IF($P49&gt;29.999,(VLOOKUP($N49,Assumptions!$B$24:$J$34,6,FALSE)),(VLOOKUP($N49,Assumptions!$B$24:$J$34,6,FALSE)/30*$P49))</f>
        <v>36000</v>
      </c>
      <c r="P49" s="7">
        <f t="shared" si="4"/>
        <v>32.772602739726025</v>
      </c>
      <c r="Q49" s="39">
        <f t="shared" si="5"/>
        <v>64.824657534246569</v>
      </c>
      <c r="R49" s="23"/>
      <c r="T49" s="81">
        <f>IF(Q49&lt;=Assumptions!$E$43,Assumptions!$E$43-Q49,Assumptions!$E$45)</f>
        <v>0.17534246575343104</v>
      </c>
      <c r="U49" s="191">
        <f t="shared" si="6"/>
        <v>32.772602739726025</v>
      </c>
      <c r="V49" s="277">
        <f>((O49*(1-(1+Assumptions!$G$40)^(-1*(G49-Q49))))/Assumptions!$G$40)-((O49*(1-(1+Assumptions!$G$40)^(-1*(T49))))/Assumptions!$G$40)</f>
        <v>301375.30784554977</v>
      </c>
      <c r="W49" s="277">
        <f>((O49*(1-(1+Assumptions!$G$46)^(-1*(G49-Q49))))/Assumptions!$G$46)-((O49*(1-(1+Assumptions!$G$46)^(-1*(T49))))/Assumptions!$G$46)</f>
        <v>369144.81177945738</v>
      </c>
      <c r="X49" s="121">
        <f>IF($P49&gt;29.999,(VLOOKUP($N49,Assumptions!$B$24:$J$34,7,FALSE)),(VLOOKUP($N49,Assumptions!$B$24:$J$34,7,FALSE)/30*$P49))</f>
        <v>28500</v>
      </c>
      <c r="Y49" s="121">
        <f>IF($P49&gt;29.999,(VLOOKUP($N49,Assumptions!$B$24:$J$34,8,FALSE)),(VLOOKUP($N49,Assumptions!$B$24:$J$34,8,FALSE)/30*$P49))</f>
        <v>36000</v>
      </c>
      <c r="Z49" s="121">
        <f>IF($P49&gt;29.999,(VLOOKUP($N49,Assumptions!$B$24:$J$34,9,FALSE)),(VLOOKUP($N49,Assumptions!$B$24:$J$34,9,FALSE)/30*$P49))</f>
        <v>35000</v>
      </c>
      <c r="AA49" s="148">
        <f>((X49*(1-(1+Assumptions!$H$40)^(-1*(G49-Q49))))/Assumptions!$H$40)-((X49*(1-(1+Assumptions!$H$40)^(-1*(T49))))/Assumptions!$H$40)</f>
        <v>238588.78537772689</v>
      </c>
      <c r="AB49" s="148">
        <f>((Y49*(1-(1+Assumptions!$I$40)^(-1*(G49-Q49))))/Assumptions!$I$40)-((Y49*(1-(1+Assumptions!$I$40)^(-1*(T49))))/Assumptions!$I$40)</f>
        <v>301375.30784554977</v>
      </c>
      <c r="AC49" s="148">
        <f>((Z49*(1-(1+Assumptions!$J$40)^(-1*(G49-Q49))))/Assumptions!$J$40)-((Z49*(1-(1+Assumptions!$J$40)^(-1*(T49))))/Assumptions!$J$40)</f>
        <v>293003.77151650673</v>
      </c>
      <c r="AD49" s="148">
        <f>((X49*(1-(1+Assumptions!$H$46)^(-1*(G49-Q49))))/Assumptions!$H$46)-((X49*(1-(1+Assumptions!$H$46)^(-1*(T49))))/Assumptions!$H$46)</f>
        <v>292239.64265873714</v>
      </c>
      <c r="AE49" s="148">
        <f>((Y49*(1-(1+Assumptions!$I$46)^(-1*(G49-Q49))))/Assumptions!$I$46)-((Y49*(1-(1+Assumptions!$I$46)^(-1*(T49))))/Assumptions!$I$46)</f>
        <v>369144.81177945738</v>
      </c>
      <c r="AF49" s="148">
        <f>((Z49*(1-(1+Assumptions!$J$46)^(-1*(G49-Q49))))/Assumptions!$J$46)-((Z49*(1-(1+Assumptions!$J$46)^(-1*(T49))))/Assumptions!$J$46)</f>
        <v>358890.78923002811</v>
      </c>
      <c r="AG49" s="145">
        <v>37134</v>
      </c>
      <c r="AH49" s="148">
        <f>((AI49*(1-(1+Assumptions!$M$40)^(-1*(G49-Q49))))/Assumptions!$M$40)-((AI49*(1-(1+Assumptions!$M$40)^(-1*(T49))))/Assumptions!$M$40)</f>
        <v>384661.81709899462</v>
      </c>
      <c r="AI49" s="409">
        <f>IF(P49&gt;29.999,(VLOOKUP(N49,Assumptions!$B$24:$M$34,12,FALSE)),(VLOOKUP(N49,Assumptions!$B$24:$M$34,12,FALSE)/30*P49))</f>
        <v>36000</v>
      </c>
      <c r="AJ49" s="148">
        <f>((AI49*(1-(1+Assumptions!$L$40)^(-1*(G49-Q49))))/Assumptions!$L$40)-((AI49*(1-(1+Assumptions!$L$40)^(-1*(T49))))/Assumptions!$L$40)</f>
        <v>301375.30784554977</v>
      </c>
      <c r="AK49" s="148">
        <f>((AI49*(1-(1+Assumptions!$L$46)^(-1*(G49-Q49))))/Assumptions!$L$46)-((AI49*(1-(1+Assumptions!$L$46)^(-1*(T49))))/Assumptions!$L$46)</f>
        <v>369144.81177945738</v>
      </c>
      <c r="AL49" s="148">
        <f>IF(Q49&gt;Assumptions!$L$3,W49,0)</f>
        <v>369144.81177945738</v>
      </c>
      <c r="AM49" s="3"/>
      <c r="AN49" s="3"/>
      <c r="AO49" s="114"/>
      <c r="AP49" s="116"/>
      <c r="AQ49" s="114"/>
      <c r="AR49" s="116"/>
    </row>
    <row r="50" spans="1:44" x14ac:dyDescent="0.2">
      <c r="A50" s="3" t="s">
        <v>104</v>
      </c>
      <c r="B50" s="189">
        <f t="shared" si="3"/>
        <v>46</v>
      </c>
      <c r="D50" s="503" t="s">
        <v>378</v>
      </c>
      <c r="E50" s="255"/>
      <c r="F50" s="36" t="s">
        <v>6</v>
      </c>
      <c r="G50" s="5">
        <f>IF(F50="f",Assumptions!$E$39,Assumptions!$E$38)</f>
        <v>81.8</v>
      </c>
      <c r="H50" s="114">
        <v>14281</v>
      </c>
      <c r="I50" s="116">
        <v>24076</v>
      </c>
      <c r="J50" s="22"/>
      <c r="K50" s="22"/>
      <c r="L50" s="91">
        <f>(((H50+(Assumptions!$E$43*365))-I50))/365</f>
        <v>38.164383561643838</v>
      </c>
      <c r="M50" s="240"/>
      <c r="N50" s="125" t="s">
        <v>226</v>
      </c>
      <c r="O50" s="121">
        <f>IF($P50&gt;29.999,(VLOOKUP($N50,Assumptions!$B$24:$J$34,6,FALSE)),(VLOOKUP($N50,Assumptions!$B$24:$J$34,6,FALSE)/30*$P50))</f>
        <v>36000</v>
      </c>
      <c r="P50" s="7">
        <f t="shared" si="4"/>
        <v>35.775342465753425</v>
      </c>
      <c r="Q50" s="39">
        <f t="shared" si="5"/>
        <v>62.610958904109587</v>
      </c>
      <c r="R50" s="23"/>
      <c r="T50" s="81">
        <f>IF(Q50&lt;=Assumptions!$E$43,Assumptions!$E$43-Q50,Assumptions!$E$45)</f>
        <v>2.3890410958904127</v>
      </c>
      <c r="U50" s="191">
        <f t="shared" si="6"/>
        <v>35.775342465753425</v>
      </c>
      <c r="V50" s="277">
        <f>((O50*(1-(1+Assumptions!$G$40)^(-1*(G50-Q50))))/Assumptions!$G$40)-((O50*(1-(1+Assumptions!$G$40)^(-1*(T50))))/Assumptions!$G$40)</f>
        <v>249032.87350368995</v>
      </c>
      <c r="W50" s="277">
        <f>((O50*(1-(1+Assumptions!$G$46)^(-1*(G50-Q50))))/Assumptions!$G$46)-((O50*(1-(1+Assumptions!$G$46)^(-1*(T50))))/Assumptions!$G$46)</f>
        <v>324065.78209659003</v>
      </c>
      <c r="X50" s="121">
        <f>IF($P50&gt;29.999,(VLOOKUP($N50,Assumptions!$B$24:$J$34,7,FALSE)),(VLOOKUP($N50,Assumptions!$B$24:$J$34,7,FALSE)/30*$P50))</f>
        <v>28500</v>
      </c>
      <c r="Y50" s="121">
        <f>IF($P50&gt;29.999,(VLOOKUP($N50,Assumptions!$B$24:$J$34,8,FALSE)),(VLOOKUP($N50,Assumptions!$B$24:$J$34,8,FALSE)/30*$P50))</f>
        <v>36000</v>
      </c>
      <c r="Z50" s="121">
        <f>IF($P50&gt;29.999,(VLOOKUP($N50,Assumptions!$B$24:$J$34,9,FALSE)),(VLOOKUP($N50,Assumptions!$B$24:$J$34,9,FALSE)/30*$P50))</f>
        <v>32000</v>
      </c>
      <c r="AA50" s="148">
        <f>((X50*(1-(1+Assumptions!$H$40)^(-1*(G50-Q50))))/Assumptions!$H$40)-((X50*(1-(1+Assumptions!$H$40)^(-1*(T50))))/Assumptions!$H$40)</f>
        <v>197151.02485708788</v>
      </c>
      <c r="AB50" s="148">
        <f>((Y50*(1-(1+Assumptions!$I$40)^(-1*(G50-Q50))))/Assumptions!$I$40)-((Y50*(1-(1+Assumptions!$I$40)^(-1*(T50))))/Assumptions!$I$40)</f>
        <v>249032.87350368995</v>
      </c>
      <c r="AC50" s="148">
        <f>((Z50*(1-(1+Assumptions!$J$40)^(-1*(G50-Q50))))/Assumptions!$J$40)-((Z50*(1-(1+Assumptions!$J$40)^(-1*(T50))))/Assumptions!$J$40)</f>
        <v>221362.55422550224</v>
      </c>
      <c r="AD50" s="148">
        <f>((X50*(1-(1+Assumptions!$H$46)^(-1*(G50-Q50))))/Assumptions!$H$46)-((X50*(1-(1+Assumptions!$H$46)^(-1*(T50))))/Assumptions!$H$46)</f>
        <v>256552.07749313372</v>
      </c>
      <c r="AE50" s="148">
        <f>((Y50*(1-(1+Assumptions!$I$46)^(-1*(G50-Q50))))/Assumptions!$I$46)-((Y50*(1-(1+Assumptions!$I$46)^(-1*(T50))))/Assumptions!$I$46)</f>
        <v>324065.78209659003</v>
      </c>
      <c r="AF50" s="148">
        <f>((Z50*(1-(1+Assumptions!$J$46)^(-1*(G50-Q50))))/Assumptions!$J$46)-((Z50*(1-(1+Assumptions!$J$46)^(-1*(T50))))/Assumptions!$J$46)</f>
        <v>288058.4729747466</v>
      </c>
      <c r="AG50" s="145">
        <v>37134</v>
      </c>
      <c r="AH50" s="148">
        <f>((AI50*(1-(1+Assumptions!$M$40)^(-1*(G50-Q50))))/Assumptions!$M$40)-((AI50*(1-(1+Assumptions!$M$40)^(-1*(T50))))/Assumptions!$M$40)</f>
        <v>341668.65715960297</v>
      </c>
      <c r="AI50" s="409">
        <f>IF(P50&gt;29.999,(VLOOKUP(N50,Assumptions!$B$24:$M$34,12,FALSE)),(VLOOKUP(N50,Assumptions!$B$24:$M$34,12,FALSE)/30*P50))</f>
        <v>36000</v>
      </c>
      <c r="AJ50" s="148">
        <f>((AI50*(1-(1+Assumptions!$L$40)^(-1*(G50-Q50))))/Assumptions!$L$40)-((AI50*(1-(1+Assumptions!$L$40)^(-1*(T50))))/Assumptions!$L$40)</f>
        <v>249032.87350368995</v>
      </c>
      <c r="AK50" s="148">
        <f>((AI50*(1-(1+Assumptions!$L$46)^(-1*(G50-Q50))))/Assumptions!$L$46)-((AI50*(1-(1+Assumptions!$L$46)^(-1*(T50))))/Assumptions!$L$46)</f>
        <v>324065.78209659003</v>
      </c>
      <c r="AL50" s="148">
        <f>IF(Q50&gt;Assumptions!$L$3,W50,0)</f>
        <v>324065.78209659003</v>
      </c>
      <c r="AM50" s="3"/>
      <c r="AN50" s="3"/>
      <c r="AO50" s="114"/>
      <c r="AP50" s="116"/>
      <c r="AQ50" s="114"/>
      <c r="AR50" s="116"/>
    </row>
    <row r="51" spans="1:44" x14ac:dyDescent="0.2">
      <c r="A51" s="3" t="s">
        <v>104</v>
      </c>
      <c r="B51" s="189">
        <f t="shared" si="3"/>
        <v>47</v>
      </c>
      <c r="D51" s="503" t="s">
        <v>379</v>
      </c>
      <c r="E51" s="255"/>
      <c r="F51" s="36" t="s">
        <v>5</v>
      </c>
      <c r="G51" s="5">
        <f>IF(F51="f",Assumptions!$E$39,Assumptions!$E$38)</f>
        <v>89.3</v>
      </c>
      <c r="H51" s="114">
        <v>19207</v>
      </c>
      <c r="I51" s="116">
        <v>29338</v>
      </c>
      <c r="J51" s="22"/>
      <c r="K51" s="22"/>
      <c r="L51" s="91">
        <f>(((H51+(Assumptions!$E$43*365))-I51))/365</f>
        <v>37.243835616438353</v>
      </c>
      <c r="M51" s="240"/>
      <c r="N51" s="125" t="s">
        <v>223</v>
      </c>
      <c r="O51" s="121">
        <f>IF($P51&gt;29.999,(VLOOKUP($N51,Assumptions!$B$24:$J$34,6,FALSE)),(VLOOKUP($N51,Assumptions!$B$24:$J$34,6,FALSE)/30*$P51))</f>
        <v>25630.68493150685</v>
      </c>
      <c r="P51" s="7">
        <f t="shared" si="4"/>
        <v>21.358904109589041</v>
      </c>
      <c r="Q51" s="39">
        <f t="shared" si="5"/>
        <v>49.115068493150687</v>
      </c>
      <c r="R51" s="23"/>
      <c r="T51" s="81">
        <f>IF(Q51&lt;=Assumptions!$E$43,Assumptions!$E$43-Q51,Assumptions!$E$45)</f>
        <v>15.884931506849313</v>
      </c>
      <c r="U51" s="191">
        <f t="shared" si="6"/>
        <v>21.358904109589041</v>
      </c>
      <c r="V51" s="277">
        <f>((O51*(1-(1+Assumptions!$G$40)^(-1*(G51-Q51))))/Assumptions!$G$40)-((O51*(1-(1+Assumptions!$G$40)^(-1*(T51))))/Assumptions!$G$40)</f>
        <v>63520.128734626865</v>
      </c>
      <c r="W51" s="277">
        <f>((O51*(1-(1+Assumptions!$G$46)^(-1*(G51-Q51))))/Assumptions!$G$46)-((O51*(1-(1+Assumptions!$G$46)^(-1*(T51))))/Assumptions!$G$46)</f>
        <v>126347.63766042847</v>
      </c>
      <c r="X51" s="121">
        <f>IF($P51&gt;29.999,(VLOOKUP($N51,Assumptions!$B$24:$J$34,7,FALSE)),(VLOOKUP($N51,Assumptions!$B$24:$J$34,7,FALSE)/30*$P51))</f>
        <v>12103.37899543379</v>
      </c>
      <c r="Y51" s="121">
        <f>IF($P51&gt;29.999,(VLOOKUP($N51,Assumptions!$B$24:$J$34,8,FALSE)),(VLOOKUP($N51,Assumptions!$B$24:$J$34,8,FALSE)/30*$P51))</f>
        <v>14951.232876712329</v>
      </c>
      <c r="Z51" s="121">
        <f>IF($P51&gt;29.999,(VLOOKUP($N51,Assumptions!$B$24:$J$34,9,FALSE)),(VLOOKUP($N51,Assumptions!$B$24:$J$34,9,FALSE)/30*$P51))</f>
        <v>12103.37899543379</v>
      </c>
      <c r="AA51" s="148">
        <f>((X51*(1-(1+Assumptions!$H$40)^(-1*(G51-Q51))))/Assumptions!$H$40)-((X51*(1-(1+Assumptions!$H$40)^(-1*(T51))))/Assumptions!$H$40)</f>
        <v>29995.616346907147</v>
      </c>
      <c r="AB51" s="148">
        <f>((Y51*(1-(1+Assumptions!$I$40)^(-1*(G51-Q51))))/Assumptions!$I$40)-((Y51*(1-(1+Assumptions!$I$40)^(-1*(T51))))/Assumptions!$I$40)</f>
        <v>37053.408428532333</v>
      </c>
      <c r="AC51" s="148">
        <f>((Z51*(1-(1+Assumptions!$J$40)^(-1*(G51-Q51))))/Assumptions!$J$40)-((Z51*(1-(1+Assumptions!$J$40)^(-1*(T51))))/Assumptions!$J$40)</f>
        <v>29995.616346907147</v>
      </c>
      <c r="AD51" s="148">
        <f>((X51*(1-(1+Assumptions!$H$46)^(-1*(G51-Q51))))/Assumptions!$H$46)-((X51*(1-(1+Assumptions!$H$46)^(-1*(T51))))/Assumptions!$H$46)</f>
        <v>59664.162228535657</v>
      </c>
      <c r="AE51" s="148">
        <f>((Y51*(1-(1+Assumptions!$I$46)^(-1*(G51-Q51))))/Assumptions!$I$46)-((Y51*(1-(1+Assumptions!$I$46)^(-1*(T51))))/Assumptions!$I$46)</f>
        <v>73702.788635249948</v>
      </c>
      <c r="AF51" s="148">
        <f>((Z51*(1-(1+Assumptions!$J$46)^(-1*(G51-Q51))))/Assumptions!$J$46)-((Z51*(1-(1+Assumptions!$J$46)^(-1*(T51))))/Assumptions!$J$46)</f>
        <v>59664.162228535657</v>
      </c>
      <c r="AG51" s="145">
        <v>37134</v>
      </c>
      <c r="AH51" s="148">
        <f>((AI51*(1-(1+Assumptions!$M$40)^(-1*(G51-Q51))))/Assumptions!$M$40)-((AI51*(1-(1+Assumptions!$M$40)^(-1*(T51))))/Assumptions!$M$40)</f>
        <v>144882.8572568908</v>
      </c>
      <c r="AI51" s="409">
        <f>IF(P51&gt;29.999,(VLOOKUP(N51,Assumptions!$B$24:$M$34,12,FALSE)),(VLOOKUP(N51,Assumptions!$B$24:$M$34,12,FALSE)/30*P51))</f>
        <v>25630.68493150685</v>
      </c>
      <c r="AJ51" s="148">
        <f>((AI51*(1-(1+Assumptions!$L$40)^(-1*(G51-Q51))))/Assumptions!$L$40)-((AI51*(1-(1+Assumptions!$L$40)^(-1*(T51))))/Assumptions!$L$40)</f>
        <v>63520.128734626865</v>
      </c>
      <c r="AK51" s="148">
        <f>((AI51*(1-(1+Assumptions!$L$46)^(-1*(G51-Q51))))/Assumptions!$L$46)-((AI51*(1-(1+Assumptions!$L$46)^(-1*(T51))))/Assumptions!$L$46)</f>
        <v>126347.63766042847</v>
      </c>
      <c r="AL51" s="148">
        <f>IF(Q51&gt;Assumptions!$L$3,W51,0)</f>
        <v>0</v>
      </c>
      <c r="AM51" s="3"/>
      <c r="AN51" s="3"/>
      <c r="AO51" s="114"/>
      <c r="AP51" s="116"/>
      <c r="AQ51" s="114"/>
      <c r="AR51" s="116"/>
    </row>
    <row r="52" spans="1:44" x14ac:dyDescent="0.2">
      <c r="A52" s="3" t="s">
        <v>104</v>
      </c>
      <c r="B52" s="189">
        <f t="shared" si="3"/>
        <v>48</v>
      </c>
      <c r="D52" s="503" t="s">
        <v>380</v>
      </c>
      <c r="E52" s="255"/>
      <c r="F52" s="36" t="s">
        <v>6</v>
      </c>
      <c r="G52" s="5">
        <f>IF(F52="f",Assumptions!$E$39,Assumptions!$E$38)</f>
        <v>81.8</v>
      </c>
      <c r="H52" s="114">
        <v>21182</v>
      </c>
      <c r="I52" s="116">
        <v>30409</v>
      </c>
      <c r="J52" s="22"/>
      <c r="K52" s="22"/>
      <c r="L52" s="91">
        <f>(((H52+(Assumptions!$E$43*365))-I52))/365</f>
        <v>39.720547945205482</v>
      </c>
      <c r="M52" s="240"/>
      <c r="N52" s="125" t="s">
        <v>211</v>
      </c>
      <c r="O52" s="121">
        <f>IF($P52&gt;29.999,(VLOOKUP($N52,Assumptions!$B$24:$J$34,6,FALSE)),(VLOOKUP($N52,Assumptions!$B$24:$J$34,6,FALSE)/30*$P52))</f>
        <v>22109.589041095889</v>
      </c>
      <c r="P52" s="7">
        <f t="shared" si="4"/>
        <v>18.424657534246574</v>
      </c>
      <c r="Q52" s="39">
        <f t="shared" si="5"/>
        <v>43.704109589041096</v>
      </c>
      <c r="R52" s="23"/>
      <c r="T52" s="81">
        <f>IF(Q52&lt;=Assumptions!$E$43,Assumptions!$E$43-Q52,Assumptions!$E$45)</f>
        <v>21.295890410958904</v>
      </c>
      <c r="U52" s="191">
        <f t="shared" si="6"/>
        <v>18.424657534246574</v>
      </c>
      <c r="V52" s="277">
        <f>((O52*(1-(1+Assumptions!$G$40)^(-1*(G52-Q52))))/Assumptions!$G$40)-((O52*(1-(1+Assumptions!$G$40)^(-1*(T52))))/Assumptions!$G$40)</f>
        <v>29985.941702987358</v>
      </c>
      <c r="W52" s="277">
        <f>((O52*(1-(1+Assumptions!$G$46)^(-1*(G52-Q52))))/Assumptions!$G$46)-((O52*(1-(1+Assumptions!$G$46)^(-1*(T52))))/Assumptions!$G$46)</f>
        <v>65435.084015668865</v>
      </c>
      <c r="X52" s="121">
        <f>IF($P52&gt;29.999,(VLOOKUP($N52,Assumptions!$B$24:$J$34,7,FALSE)),(VLOOKUP($N52,Assumptions!$B$24:$J$34,7,FALSE)/30*$P52))</f>
        <v>6141.5525114155244</v>
      </c>
      <c r="Y52" s="121">
        <f>IF($P52&gt;29.999,(VLOOKUP($N52,Assumptions!$B$24:$J$34,8,FALSE)),(VLOOKUP($N52,Assumptions!$B$24:$J$34,8,FALSE)/30*$P52))</f>
        <v>7369.8630136986294</v>
      </c>
      <c r="Z52" s="121">
        <f>IF($P52&gt;29.999,(VLOOKUP($N52,Assumptions!$B$24:$J$34,9,FALSE)),(VLOOKUP($N52,Assumptions!$B$24:$J$34,9,FALSE)/30*$P52))</f>
        <v>6141.5525114155244</v>
      </c>
      <c r="AA52" s="148">
        <f>((X52*(1-(1+Assumptions!$H$40)^(-1*(G52-Q52))))/Assumptions!$H$40)-((X52*(1-(1+Assumptions!$H$40)^(-1*(T52))))/Assumptions!$H$40)</f>
        <v>8329.4282508298056</v>
      </c>
      <c r="AB52" s="148">
        <f>((Y52*(1-(1+Assumptions!$I$40)^(-1*(G52-Q52))))/Assumptions!$I$40)-((Y52*(1-(1+Assumptions!$I$40)^(-1*(T52))))/Assumptions!$I$40)</f>
        <v>9995.3139009957813</v>
      </c>
      <c r="AC52" s="148">
        <f>((Z52*(1-(1+Assumptions!$J$40)^(-1*(G52-Q52))))/Assumptions!$J$40)-((Z52*(1-(1+Assumptions!$J$40)^(-1*(T52))))/Assumptions!$J$40)</f>
        <v>8329.4282508298056</v>
      </c>
      <c r="AD52" s="148">
        <f>((X52*(1-(1+Assumptions!$H$46)^(-1*(G52-Q52))))/Assumptions!$H$46)-((X52*(1-(1+Assumptions!$H$46)^(-1*(T52))))/Assumptions!$H$46)</f>
        <v>18176.412226574685</v>
      </c>
      <c r="AE52" s="148">
        <f>((Y52*(1-(1+Assumptions!$I$46)^(-1*(G52-Q52))))/Assumptions!$I$46)-((Y52*(1-(1+Assumptions!$I$46)^(-1*(T52))))/Assumptions!$I$46)</f>
        <v>21811.694671889607</v>
      </c>
      <c r="AF52" s="148">
        <f>((Z52*(1-(1+Assumptions!$J$46)^(-1*(G52-Q52))))/Assumptions!$J$46)-((Z52*(1-(1+Assumptions!$J$46)^(-1*(T52))))/Assumptions!$J$46)</f>
        <v>18176.412226574685</v>
      </c>
      <c r="AG52" s="145">
        <v>37134</v>
      </c>
      <c r="AH52" s="148">
        <f>((AI52*(1-(1+Assumptions!$M$40)^(-1*(G52-Q52))))/Assumptions!$M$40)-((AI52*(1-(1+Assumptions!$M$40)^(-1*(T52))))/Assumptions!$M$40)</f>
        <v>76252.231865345908</v>
      </c>
      <c r="AI52" s="409">
        <f>IF(P52&gt;29.999,(VLOOKUP(N52,Assumptions!$B$24:$M$34,12,FALSE)),(VLOOKUP(N52,Assumptions!$B$24:$M$34,12,FALSE)/30*P52))</f>
        <v>22109.589041095889</v>
      </c>
      <c r="AJ52" s="148">
        <f>((AI52*(1-(1+Assumptions!$L$40)^(-1*(G52-Q52))))/Assumptions!$L$40)-((AI52*(1-(1+Assumptions!$L$40)^(-1*(T52))))/Assumptions!$L$40)</f>
        <v>29985.941702987358</v>
      </c>
      <c r="AK52" s="148">
        <f>((AI52*(1-(1+Assumptions!$L$46)^(-1*(G52-Q52))))/Assumptions!$L$46)-((AI52*(1-(1+Assumptions!$L$46)^(-1*(T52))))/Assumptions!$L$46)</f>
        <v>65435.084015668865</v>
      </c>
      <c r="AL52" s="148">
        <f>IF(Q52&gt;Assumptions!$L$3,W52,0)</f>
        <v>0</v>
      </c>
      <c r="AM52" s="3"/>
      <c r="AN52" s="3"/>
      <c r="AO52" s="114"/>
      <c r="AP52" s="116"/>
      <c r="AQ52" s="114"/>
      <c r="AR52" s="116"/>
    </row>
    <row r="53" spans="1:44" x14ac:dyDescent="0.2">
      <c r="A53" s="3" t="s">
        <v>104</v>
      </c>
      <c r="B53" s="189">
        <f t="shared" si="3"/>
        <v>49</v>
      </c>
      <c r="D53" s="503" t="s">
        <v>381</v>
      </c>
      <c r="E53" s="255"/>
      <c r="F53" s="36" t="s">
        <v>6</v>
      </c>
      <c r="G53" s="5">
        <f>IF(F53="f",Assumptions!$E$39,Assumptions!$E$38)</f>
        <v>81.8</v>
      </c>
      <c r="H53" s="114">
        <v>13649</v>
      </c>
      <c r="I53" s="116">
        <v>21884</v>
      </c>
      <c r="J53" s="22"/>
      <c r="K53" s="22"/>
      <c r="L53" s="91">
        <f>(((H53+(Assumptions!$E$43*365))-I53))/365</f>
        <v>42.438356164383563</v>
      </c>
      <c r="M53" s="240"/>
      <c r="N53" s="125" t="s">
        <v>227</v>
      </c>
      <c r="O53" s="121">
        <f>IF($P53&gt;29.999,(VLOOKUP($N53,Assumptions!$B$24:$J$34,6,FALSE)),(VLOOKUP($N53,Assumptions!$B$24:$J$34,6,FALSE)/30*$P53))</f>
        <v>36000</v>
      </c>
      <c r="P53" s="7">
        <f t="shared" si="4"/>
        <v>41.780821917808218</v>
      </c>
      <c r="Q53" s="39">
        <f t="shared" si="5"/>
        <v>64.342465753424662</v>
      </c>
      <c r="R53" s="23"/>
      <c r="T53" s="81">
        <f>IF(Q53&lt;=Assumptions!$E$43,Assumptions!$E$43-Q53,Assumptions!$E$45)</f>
        <v>0.65753424657533799</v>
      </c>
      <c r="U53" s="191">
        <f t="shared" si="6"/>
        <v>41.780821917808218</v>
      </c>
      <c r="V53" s="277">
        <f>((O53*(1-(1+Assumptions!$G$40)^(-1*(G53-Q53))))/Assumptions!$G$40)-((O53*(1-(1+Assumptions!$G$40)^(-1*(T53))))/Assumptions!$G$40)</f>
        <v>289108.53786514362</v>
      </c>
      <c r="W53" s="277">
        <f>((O53*(1-(1+Assumptions!$G$46)^(-1*(G53-Q53))))/Assumptions!$G$46)-((O53*(1-(1+Assumptions!$G$46)^(-1*(T53))))/Assumptions!$G$46)</f>
        <v>358819.45847252244</v>
      </c>
      <c r="X53" s="121">
        <f>IF($P53&gt;29.999,(VLOOKUP($N53,Assumptions!$B$24:$J$34,7,FALSE)),(VLOOKUP($N53,Assumptions!$B$24:$J$34,7,FALSE)/30*$P53))</f>
        <v>28500</v>
      </c>
      <c r="Y53" s="121">
        <f>IF($P53&gt;29.999,(VLOOKUP($N53,Assumptions!$B$24:$J$34,8,FALSE)),(VLOOKUP($N53,Assumptions!$B$24:$J$34,8,FALSE)/30*$P53))</f>
        <v>36000</v>
      </c>
      <c r="Z53" s="121">
        <f>IF($P53&gt;29.999,(VLOOKUP($N53,Assumptions!$B$24:$J$34,9,FALSE)),(VLOOKUP($N53,Assumptions!$B$24:$J$34,9,FALSE)/30*$P53))</f>
        <v>35000</v>
      </c>
      <c r="AA53" s="148">
        <f>((X53*(1-(1+Assumptions!$H$40)^(-1*(G53-Q53))))/Assumptions!$H$40)-((X53*(1-(1+Assumptions!$H$40)^(-1*(T53))))/Assumptions!$H$40)</f>
        <v>228877.592476572</v>
      </c>
      <c r="AB53" s="148">
        <f>((Y53*(1-(1+Assumptions!$I$40)^(-1*(G53-Q53))))/Assumptions!$I$40)-((Y53*(1-(1+Assumptions!$I$40)^(-1*(T53))))/Assumptions!$I$40)</f>
        <v>289108.53786514362</v>
      </c>
      <c r="AC53" s="148">
        <f>((Z53*(1-(1+Assumptions!$J$40)^(-1*(G53-Q53))))/Assumptions!$J$40)-((Z53*(1-(1+Assumptions!$J$40)^(-1*(T53))))/Assumptions!$J$40)</f>
        <v>281077.74514666741</v>
      </c>
      <c r="AD53" s="148">
        <f>((X53*(1-(1+Assumptions!$H$46)^(-1*(G53-Q53))))/Assumptions!$H$46)-((X53*(1-(1+Assumptions!$H$46)^(-1*(T53))))/Assumptions!$H$46)</f>
        <v>284065.40462408029</v>
      </c>
      <c r="AE53" s="148">
        <f>((Y53*(1-(1+Assumptions!$I$46)^(-1*(G53-Q53))))/Assumptions!$I$46)-((Y53*(1-(1+Assumptions!$I$46)^(-1*(T53))))/Assumptions!$I$46)</f>
        <v>358819.45847252244</v>
      </c>
      <c r="AF53" s="148">
        <f>((Z53*(1-(1+Assumptions!$J$46)^(-1*(G53-Q53))))/Assumptions!$J$46)-((Z53*(1-(1+Assumptions!$J$46)^(-1*(T53))))/Assumptions!$J$46)</f>
        <v>348852.25129273016</v>
      </c>
      <c r="AG53" s="145">
        <v>37134</v>
      </c>
      <c r="AH53" s="148">
        <f>((AI53*(1-(1+Assumptions!$M$40)^(-1*(G53-Q53))))/Assumptions!$M$40)-((AI53*(1-(1+Assumptions!$M$40)^(-1*(T53))))/Assumptions!$M$40)</f>
        <v>374858.12961934396</v>
      </c>
      <c r="AI53" s="409">
        <f>IF(P53&gt;29.999,(VLOOKUP(N53,Assumptions!$B$24:$M$34,12,FALSE)),(VLOOKUP(N53,Assumptions!$B$24:$M$34,12,FALSE)/30*P53))</f>
        <v>36000</v>
      </c>
      <c r="AJ53" s="148">
        <f>((AI53*(1-(1+Assumptions!$L$40)^(-1*(G53-Q53))))/Assumptions!$L$40)-((AI53*(1-(1+Assumptions!$L$40)^(-1*(T53))))/Assumptions!$L$40)</f>
        <v>289108.53786514362</v>
      </c>
      <c r="AK53" s="148">
        <f>((AI53*(1-(1+Assumptions!$L$46)^(-1*(G53-Q53))))/Assumptions!$L$46)-((AI53*(1-(1+Assumptions!$L$46)^(-1*(T53))))/Assumptions!$L$46)</f>
        <v>358819.45847252244</v>
      </c>
      <c r="AL53" s="148">
        <f>IF(Q53&gt;Assumptions!$L$3,W53,0)</f>
        <v>358819.45847252244</v>
      </c>
      <c r="AM53" s="3"/>
      <c r="AN53" s="3"/>
      <c r="AO53" s="114"/>
      <c r="AP53" s="116"/>
      <c r="AQ53" s="114"/>
      <c r="AR53" s="116"/>
    </row>
    <row r="54" spans="1:44" x14ac:dyDescent="0.2">
      <c r="A54" s="3" t="s">
        <v>104</v>
      </c>
      <c r="B54" s="189">
        <f t="shared" si="3"/>
        <v>50</v>
      </c>
      <c r="D54" s="503" t="s">
        <v>382</v>
      </c>
      <c r="E54" s="255"/>
      <c r="F54" s="36" t="s">
        <v>5</v>
      </c>
      <c r="G54" s="5">
        <f>IF(F54="f",Assumptions!$E$39,Assumptions!$E$38)</f>
        <v>89.3</v>
      </c>
      <c r="H54" s="114">
        <v>19722</v>
      </c>
      <c r="I54" s="116">
        <v>28192</v>
      </c>
      <c r="J54" s="22"/>
      <c r="K54" s="22"/>
      <c r="L54" s="91">
        <f>(((H54+(Assumptions!$E$43*365))-I54))/365</f>
        <v>41.794520547945204</v>
      </c>
      <c r="M54" s="240"/>
      <c r="N54" s="125" t="s">
        <v>223</v>
      </c>
      <c r="O54" s="121">
        <f>IF($P54&gt;29.999,(VLOOKUP($N54,Assumptions!$B$24:$J$34,6,FALSE)),(VLOOKUP($N54,Assumptions!$B$24:$J$34,6,FALSE)/30*$P54))</f>
        <v>29398.35616438356</v>
      </c>
      <c r="P54" s="7">
        <f t="shared" si="4"/>
        <v>24.4986301369863</v>
      </c>
      <c r="Q54" s="39">
        <f t="shared" si="5"/>
        <v>47.704109589041096</v>
      </c>
      <c r="R54" s="23"/>
      <c r="T54" s="81">
        <f>IF(Q54&lt;=Assumptions!$E$43,Assumptions!$E$43-Q54,Assumptions!$E$45)</f>
        <v>17.295890410958904</v>
      </c>
      <c r="U54" s="191">
        <f t="shared" si="6"/>
        <v>24.4986301369863</v>
      </c>
      <c r="V54" s="277">
        <f>((O54*(1-(1+Assumptions!$G$40)^(-1*(G54-Q54))))/Assumptions!$G$40)-((O54*(1-(1+Assumptions!$G$40)^(-1*(T54))))/Assumptions!$G$40)</f>
        <v>64515.928831151628</v>
      </c>
      <c r="W54" s="277">
        <f>((O54*(1-(1+Assumptions!$G$46)^(-1*(G54-Q54))))/Assumptions!$G$46)-((O54*(1-(1+Assumptions!$G$46)^(-1*(T54))))/Assumptions!$G$46)</f>
        <v>133375.99479828245</v>
      </c>
      <c r="X54" s="121">
        <f>IF($P54&gt;29.999,(VLOOKUP($N54,Assumptions!$B$24:$J$34,7,FALSE)),(VLOOKUP($N54,Assumptions!$B$24:$J$34,7,FALSE)/30*$P54))</f>
        <v>13882.55707762557</v>
      </c>
      <c r="Y54" s="121">
        <f>IF($P54&gt;29.999,(VLOOKUP($N54,Assumptions!$B$24:$J$34,8,FALSE)),(VLOOKUP($N54,Assumptions!$B$24:$J$34,8,FALSE)/30*$P54))</f>
        <v>17149.04109589041</v>
      </c>
      <c r="Z54" s="121">
        <f>IF($P54&gt;29.999,(VLOOKUP($N54,Assumptions!$B$24:$J$34,9,FALSE)),(VLOOKUP($N54,Assumptions!$B$24:$J$34,9,FALSE)/30*$P54))</f>
        <v>13882.55707762557</v>
      </c>
      <c r="AA54" s="148">
        <f>((X54*(1-(1+Assumptions!$H$40)^(-1*(G54-Q54))))/Assumptions!$H$40)-((X54*(1-(1+Assumptions!$H$40)^(-1*(T54))))/Assumptions!$H$40)</f>
        <v>30465.855281377153</v>
      </c>
      <c r="AB54" s="148">
        <f>((Y54*(1-(1+Assumptions!$I$40)^(-1*(G54-Q54))))/Assumptions!$I$40)-((Y54*(1-(1+Assumptions!$I$40)^(-1*(T54))))/Assumptions!$I$40)</f>
        <v>37634.291818171769</v>
      </c>
      <c r="AC54" s="148">
        <f>((Z54*(1-(1+Assumptions!$J$40)^(-1*(G54-Q54))))/Assumptions!$J$40)-((Z54*(1-(1+Assumptions!$J$40)^(-1*(T54))))/Assumptions!$J$40)</f>
        <v>30465.855281377153</v>
      </c>
      <c r="AD54" s="148">
        <f>((X54*(1-(1+Assumptions!$H$46)^(-1*(G54-Q54))))/Assumptions!$H$46)-((X54*(1-(1+Assumptions!$H$46)^(-1*(T54))))/Assumptions!$H$46)</f>
        <v>62983.108654744487</v>
      </c>
      <c r="AE54" s="148">
        <f>((Y54*(1-(1+Assumptions!$I$46)^(-1*(G54-Q54))))/Assumptions!$I$46)-((Y54*(1-(1+Assumptions!$I$46)^(-1*(T54))))/Assumptions!$I$46)</f>
        <v>77802.663632331445</v>
      </c>
      <c r="AF54" s="148">
        <f>((Z54*(1-(1+Assumptions!$J$46)^(-1*(G54-Q54))))/Assumptions!$J$46)-((Z54*(1-(1+Assumptions!$J$46)^(-1*(T54))))/Assumptions!$J$46)</f>
        <v>62983.108654744487</v>
      </c>
      <c r="AG54" s="145">
        <v>37134</v>
      </c>
      <c r="AH54" s="148">
        <f>((AI54*(1-(1+Assumptions!$M$40)^(-1*(G54-Q54))))/Assumptions!$M$40)-((AI54*(1-(1+Assumptions!$M$40)^(-1*(T54))))/Assumptions!$M$40)</f>
        <v>154088.97714852862</v>
      </c>
      <c r="AI54" s="409">
        <f>IF(P54&gt;29.999,(VLOOKUP(N54,Assumptions!$B$24:$M$34,12,FALSE)),(VLOOKUP(N54,Assumptions!$B$24:$M$34,12,FALSE)/30*P54))</f>
        <v>29398.35616438356</v>
      </c>
      <c r="AJ54" s="148">
        <f>((AI54*(1-(1+Assumptions!$L$40)^(-1*(G54-Q54))))/Assumptions!$L$40)-((AI54*(1-(1+Assumptions!$L$40)^(-1*(T54))))/Assumptions!$L$40)</f>
        <v>64515.928831151628</v>
      </c>
      <c r="AK54" s="148">
        <f>((AI54*(1-(1+Assumptions!$L$46)^(-1*(G54-Q54))))/Assumptions!$L$46)-((AI54*(1-(1+Assumptions!$L$46)^(-1*(T54))))/Assumptions!$L$46)</f>
        <v>133375.99479828245</v>
      </c>
      <c r="AL54" s="148">
        <f>IF(Q54&gt;Assumptions!$L$3,W54,0)</f>
        <v>0</v>
      </c>
      <c r="AM54" s="3"/>
      <c r="AN54" s="3"/>
      <c r="AO54" s="114"/>
      <c r="AP54" s="116"/>
      <c r="AQ54" s="114"/>
      <c r="AR54" s="116"/>
    </row>
    <row r="55" spans="1:44" x14ac:dyDescent="0.2">
      <c r="A55" s="3" t="s">
        <v>104</v>
      </c>
      <c r="B55" s="189">
        <f t="shared" si="3"/>
        <v>51</v>
      </c>
      <c r="D55" s="503" t="s">
        <v>383</v>
      </c>
      <c r="E55" s="255"/>
      <c r="F55" s="36" t="s">
        <v>6</v>
      </c>
      <c r="G55" s="5">
        <f>IF(F55="f",Assumptions!$E$39,Assumptions!$E$38)</f>
        <v>81.8</v>
      </c>
      <c r="H55" s="114">
        <v>20838</v>
      </c>
      <c r="I55" s="116">
        <v>35036</v>
      </c>
      <c r="J55" s="22"/>
      <c r="K55" s="22"/>
      <c r="L55" s="91">
        <f>(((H55+(Assumptions!$E$43*365))-I55))/365</f>
        <v>26.101369863013698</v>
      </c>
      <c r="M55" s="240"/>
      <c r="N55" s="125" t="s">
        <v>223</v>
      </c>
      <c r="O55" s="121">
        <f>IF($P55&gt;29.999,(VLOOKUP($N55,Assumptions!$B$24:$J$34,6,FALSE)),(VLOOKUP($N55,Assumptions!$B$24:$J$34,6,FALSE)/30*$P55))</f>
        <v>6897.534246575342</v>
      </c>
      <c r="P55" s="7">
        <f t="shared" si="4"/>
        <v>5.7479452054794518</v>
      </c>
      <c r="Q55" s="39">
        <f t="shared" si="5"/>
        <v>44.646575342465752</v>
      </c>
      <c r="R55" s="23"/>
      <c r="T55" s="81">
        <f>IF(Q55&lt;=Assumptions!$E$43,Assumptions!$E$43-Q55,Assumptions!$E$45)</f>
        <v>20.353424657534248</v>
      </c>
      <c r="U55" s="191">
        <f t="shared" si="6"/>
        <v>5.7479452054794518</v>
      </c>
      <c r="V55" s="277">
        <f>((O55*(1-(1+Assumptions!$G$40)^(-1*(G55-Q55))))/Assumptions!$G$40)-((O55*(1-(1+Assumptions!$G$40)^(-1*(T55))))/Assumptions!$G$40)</f>
        <v>10146.215449429197</v>
      </c>
      <c r="W55" s="277">
        <f>((O55*(1-(1+Assumptions!$G$46)^(-1*(G55-Q55))))/Assumptions!$G$46)-((O55*(1-(1+Assumptions!$G$46)^(-1*(T55))))/Assumptions!$G$46)</f>
        <v>21577.711837914962</v>
      </c>
      <c r="X55" s="121">
        <f>IF($P55&gt;29.999,(VLOOKUP($N55,Assumptions!$B$24:$J$34,7,FALSE)),(VLOOKUP($N55,Assumptions!$B$24:$J$34,7,FALSE)/30*$P55))</f>
        <v>3257.1689497716893</v>
      </c>
      <c r="Y55" s="121">
        <f>IF($P55&gt;29.999,(VLOOKUP($N55,Assumptions!$B$24:$J$34,8,FALSE)),(VLOOKUP($N55,Assumptions!$B$24:$J$34,8,FALSE)/30*$P55))</f>
        <v>4023.5616438356165</v>
      </c>
      <c r="Z55" s="121">
        <f>IF($P55&gt;29.999,(VLOOKUP($N55,Assumptions!$B$24:$J$34,9,FALSE)),(VLOOKUP($N55,Assumptions!$B$24:$J$34,9,FALSE)/30*$P55))</f>
        <v>3257.1689497716893</v>
      </c>
      <c r="AA55" s="148">
        <f>((X55*(1-(1+Assumptions!$H$40)^(-1*(G55-Q55))))/Assumptions!$H$40)-((X55*(1-(1+Assumptions!$H$40)^(-1*(T55))))/Assumptions!$H$40)</f>
        <v>4791.2684066748952</v>
      </c>
      <c r="AB55" s="148">
        <f>((Y55*(1-(1+Assumptions!$I$40)^(-1*(G55-Q55))))/Assumptions!$I$40)-((Y55*(1-(1+Assumptions!$I$40)^(-1*(T55))))/Assumptions!$I$40)</f>
        <v>5918.6256788336905</v>
      </c>
      <c r="AC55" s="148">
        <f>((Z55*(1-(1+Assumptions!$J$40)^(-1*(G55-Q55))))/Assumptions!$J$40)-((Z55*(1-(1+Assumptions!$J$40)^(-1*(T55))))/Assumptions!$J$40)</f>
        <v>4791.2684066748952</v>
      </c>
      <c r="AD55" s="148">
        <f>((X55*(1-(1+Assumptions!$H$46)^(-1*(G55-Q55))))/Assumptions!$H$46)-((X55*(1-(1+Assumptions!$H$46)^(-1*(T55))))/Assumptions!$H$46)</f>
        <v>10189.475034570962</v>
      </c>
      <c r="AE55" s="148">
        <f>((Y55*(1-(1+Assumptions!$I$46)^(-1*(G55-Q55))))/Assumptions!$I$46)-((Y55*(1-(1+Assumptions!$I$46)^(-1*(T55))))/Assumptions!$I$46)</f>
        <v>12586.99857211706</v>
      </c>
      <c r="AF55" s="148">
        <f>((Z55*(1-(1+Assumptions!$J$46)^(-1*(G55-Q55))))/Assumptions!$J$46)-((Z55*(1-(1+Assumptions!$J$46)^(-1*(T55))))/Assumptions!$J$46)</f>
        <v>10189.475034570962</v>
      </c>
      <c r="AG55" s="145">
        <v>37134</v>
      </c>
      <c r="AH55" s="148">
        <f>((AI55*(1-(1+Assumptions!$M$40)^(-1*(G55-Q55))))/Assumptions!$M$40)-((AI55*(1-(1+Assumptions!$M$40)^(-1*(T55))))/Assumptions!$M$40)</f>
        <v>25019.60228808182</v>
      </c>
      <c r="AI55" s="409">
        <f>IF(P55&gt;29.999,(VLOOKUP(N55,Assumptions!$B$24:$M$34,12,FALSE)),(VLOOKUP(N55,Assumptions!$B$24:$M$34,12,FALSE)/30*P55))</f>
        <v>6897.534246575342</v>
      </c>
      <c r="AJ55" s="148">
        <f>((AI55*(1-(1+Assumptions!$L$40)^(-1*(G55-Q55))))/Assumptions!$L$40)-((AI55*(1-(1+Assumptions!$L$40)^(-1*(T55))))/Assumptions!$L$40)</f>
        <v>10146.215449429197</v>
      </c>
      <c r="AK55" s="148">
        <f>((AI55*(1-(1+Assumptions!$L$46)^(-1*(G55-Q55))))/Assumptions!$L$46)-((AI55*(1-(1+Assumptions!$L$46)^(-1*(T55))))/Assumptions!$L$46)</f>
        <v>21577.711837914962</v>
      </c>
      <c r="AL55" s="148">
        <f>IF(Q55&gt;Assumptions!$L$3,W55,0)</f>
        <v>0</v>
      </c>
      <c r="AM55" s="3"/>
      <c r="AN55" s="3"/>
      <c r="AO55" s="114"/>
      <c r="AP55" s="116"/>
      <c r="AQ55" s="114"/>
      <c r="AR55" s="116"/>
    </row>
    <row r="56" spans="1:44" x14ac:dyDescent="0.2">
      <c r="A56" s="3" t="s">
        <v>104</v>
      </c>
      <c r="B56" s="189">
        <f t="shared" si="3"/>
        <v>52</v>
      </c>
      <c r="D56" s="503" t="s">
        <v>384</v>
      </c>
      <c r="E56" s="255"/>
      <c r="F56" s="36" t="s">
        <v>6</v>
      </c>
      <c r="G56" s="5">
        <f>IF(F56="f",Assumptions!$E$39,Assumptions!$E$38)</f>
        <v>81.8</v>
      </c>
      <c r="H56" s="114">
        <v>15215</v>
      </c>
      <c r="I56" s="116">
        <v>25172</v>
      </c>
      <c r="J56" s="22"/>
      <c r="K56" s="22"/>
      <c r="L56" s="91">
        <f>(((H56+(Assumptions!$E$43*365))-I56))/365</f>
        <v>37.720547945205482</v>
      </c>
      <c r="M56" s="240"/>
      <c r="N56" s="125" t="s">
        <v>226</v>
      </c>
      <c r="O56" s="121">
        <f>IF($P56&gt;29.999,(VLOOKUP($N56,Assumptions!$B$24:$J$34,6,FALSE)),(VLOOKUP($N56,Assumptions!$B$24:$J$34,6,FALSE)/30*$P56))</f>
        <v>36000</v>
      </c>
      <c r="P56" s="7">
        <f t="shared" si="4"/>
        <v>32.772602739726025</v>
      </c>
      <c r="Q56" s="39">
        <f t="shared" si="5"/>
        <v>60.052054794520551</v>
      </c>
      <c r="R56" s="23"/>
      <c r="T56" s="81">
        <f>IF(Q56&lt;=Assumptions!$E$43,Assumptions!$E$43-Q56,Assumptions!$E$45)</f>
        <v>4.9479452054794493</v>
      </c>
      <c r="U56" s="191">
        <f t="shared" si="6"/>
        <v>32.772602739726025</v>
      </c>
      <c r="V56" s="277">
        <f>((O56*(1-(1+Assumptions!$G$40)^(-1*(G56-Q56))))/Assumptions!$G$40)-((O56*(1-(1+Assumptions!$G$40)^(-1*(T56))))/Assumptions!$G$40)</f>
        <v>199749.57336266039</v>
      </c>
      <c r="W56" s="277">
        <f>((O56*(1-(1+Assumptions!$G$46)^(-1*(G56-Q56))))/Assumptions!$G$46)-((O56*(1-(1+Assumptions!$G$46)^(-1*(T56))))/Assumptions!$G$46)</f>
        <v>278771.91858515027</v>
      </c>
      <c r="X56" s="121">
        <f>IF($P56&gt;29.999,(VLOOKUP($N56,Assumptions!$B$24:$J$34,7,FALSE)),(VLOOKUP($N56,Assumptions!$B$24:$J$34,7,FALSE)/30*$P56))</f>
        <v>28500</v>
      </c>
      <c r="Y56" s="121">
        <f>IF($P56&gt;29.999,(VLOOKUP($N56,Assumptions!$B$24:$J$34,8,FALSE)),(VLOOKUP($N56,Assumptions!$B$24:$J$34,8,FALSE)/30*$P56))</f>
        <v>36000</v>
      </c>
      <c r="Z56" s="121">
        <f>IF($P56&gt;29.999,(VLOOKUP($N56,Assumptions!$B$24:$J$34,9,FALSE)),(VLOOKUP($N56,Assumptions!$B$24:$J$34,9,FALSE)/30*$P56))</f>
        <v>32000</v>
      </c>
      <c r="AA56" s="148">
        <f>((X56*(1-(1+Assumptions!$H$40)^(-1*(G56-Q56))))/Assumptions!$H$40)-((X56*(1-(1+Assumptions!$H$40)^(-1*(T56))))/Assumptions!$H$40)</f>
        <v>158135.07891210617</v>
      </c>
      <c r="AB56" s="148">
        <f>((Y56*(1-(1+Assumptions!$I$40)^(-1*(G56-Q56))))/Assumptions!$I$40)-((Y56*(1-(1+Assumptions!$I$40)^(-1*(T56))))/Assumptions!$I$40)</f>
        <v>199749.57336266039</v>
      </c>
      <c r="AC56" s="148">
        <f>((Z56*(1-(1+Assumptions!$J$40)^(-1*(G56-Q56))))/Assumptions!$J$40)-((Z56*(1-(1+Assumptions!$J$40)^(-1*(T56))))/Assumptions!$J$40)</f>
        <v>177555.17632236483</v>
      </c>
      <c r="AD56" s="148">
        <f>((X56*(1-(1+Assumptions!$H$46)^(-1*(G56-Q56))))/Assumptions!$H$46)-((X56*(1-(1+Assumptions!$H$46)^(-1*(T56))))/Assumptions!$H$46)</f>
        <v>220694.43554657721</v>
      </c>
      <c r="AE56" s="148">
        <f>((Y56*(1-(1+Assumptions!$I$46)^(-1*(G56-Q56))))/Assumptions!$I$46)-((Y56*(1-(1+Assumptions!$I$46)^(-1*(T56))))/Assumptions!$I$46)</f>
        <v>278771.91858515027</v>
      </c>
      <c r="AF56" s="148">
        <f>((Z56*(1-(1+Assumptions!$J$46)^(-1*(G56-Q56))))/Assumptions!$J$46)-((Z56*(1-(1+Assumptions!$J$46)^(-1*(T56))))/Assumptions!$J$46)</f>
        <v>247797.2609645779</v>
      </c>
      <c r="AG56" s="145">
        <v>37134</v>
      </c>
      <c r="AH56" s="148">
        <f>((AI56*(1-(1+Assumptions!$M$40)^(-1*(G56-Q56))))/Assumptions!$M$40)-((AI56*(1-(1+Assumptions!$M$40)^(-1*(T56))))/Assumptions!$M$40)</f>
        <v>297923.20149800298</v>
      </c>
      <c r="AI56" s="409">
        <f>IF(P56&gt;29.999,(VLOOKUP(N56,Assumptions!$B$24:$M$34,12,FALSE)),(VLOOKUP(N56,Assumptions!$B$24:$M$34,12,FALSE)/30*P56))</f>
        <v>36000</v>
      </c>
      <c r="AJ56" s="148">
        <f>((AI56*(1-(1+Assumptions!$L$40)^(-1*(G56-Q56))))/Assumptions!$L$40)-((AI56*(1-(1+Assumptions!$L$40)^(-1*(T56))))/Assumptions!$L$40)</f>
        <v>199749.57336266039</v>
      </c>
      <c r="AK56" s="148">
        <f>((AI56*(1-(1+Assumptions!$L$46)^(-1*(G56-Q56))))/Assumptions!$L$46)-((AI56*(1-(1+Assumptions!$L$46)^(-1*(T56))))/Assumptions!$L$46)</f>
        <v>278771.91858515027</v>
      </c>
      <c r="AL56" s="148">
        <f>IF(Q56&gt;Assumptions!$L$3,W56,0)</f>
        <v>278771.91858515027</v>
      </c>
      <c r="AM56" s="3"/>
      <c r="AN56" s="3"/>
      <c r="AO56" s="114"/>
      <c r="AP56" s="116"/>
      <c r="AQ56" s="114"/>
      <c r="AR56" s="116"/>
    </row>
    <row r="57" spans="1:44" x14ac:dyDescent="0.2">
      <c r="A57" s="3" t="s">
        <v>104</v>
      </c>
      <c r="B57" s="189">
        <f t="shared" si="3"/>
        <v>53</v>
      </c>
      <c r="D57" s="503" t="s">
        <v>385</v>
      </c>
      <c r="E57" s="255"/>
      <c r="F57" s="36" t="s">
        <v>5</v>
      </c>
      <c r="G57" s="5">
        <f>IF(F57="f",Assumptions!$E$39,Assumptions!$E$38)</f>
        <v>89.3</v>
      </c>
      <c r="H57" s="114">
        <v>18329</v>
      </c>
      <c r="I57" s="116">
        <v>27490</v>
      </c>
      <c r="J57" s="22"/>
      <c r="K57" s="22"/>
      <c r="L57" s="91">
        <f>(((H57+(Assumptions!$E$43*365))-I57))/365</f>
        <v>39.901369863013699</v>
      </c>
      <c r="M57" s="240"/>
      <c r="N57" s="125" t="s">
        <v>224</v>
      </c>
      <c r="O57" s="121">
        <f>IF($P57&gt;29.999,(VLOOKUP($N57,Assumptions!$B$24:$J$34,6,FALSE)),(VLOOKUP($N57,Assumptions!$B$24:$J$34,6,FALSE)/30*$P57))</f>
        <v>31706.301369863013</v>
      </c>
      <c r="P57" s="7">
        <f t="shared" si="4"/>
        <v>26.421917808219177</v>
      </c>
      <c r="Q57" s="39">
        <f t="shared" si="5"/>
        <v>51.520547945205479</v>
      </c>
      <c r="R57" s="23"/>
      <c r="T57" s="81">
        <f>IF(Q57&lt;=Assumptions!$E$43,Assumptions!$E$43-Q57,Assumptions!$E$45)</f>
        <v>13.479452054794521</v>
      </c>
      <c r="U57" s="191">
        <f t="shared" si="6"/>
        <v>26.421917808219177</v>
      </c>
      <c r="V57" s="277">
        <f>((O57*(1-(1+Assumptions!$G$40)^(-1*(G57-Q57))))/Assumptions!$G$40)-((O57*(1-(1+Assumptions!$G$40)^(-1*(T57))))/Assumptions!$G$40)</f>
        <v>96677.500272985664</v>
      </c>
      <c r="W57" s="277">
        <f>((O57*(1-(1+Assumptions!$G$46)^(-1*(G57-Q57))))/Assumptions!$G$46)-((O57*(1-(1+Assumptions!$G$46)^(-1*(T57))))/Assumptions!$G$46)</f>
        <v>180059.64977988135</v>
      </c>
      <c r="X57" s="121">
        <f>IF($P57&gt;29.999,(VLOOKUP($N57,Assumptions!$B$24:$J$34,7,FALSE)),(VLOOKUP($N57,Assumptions!$B$24:$J$34,7,FALSE)/30*$P57))</f>
        <v>22018.264840182648</v>
      </c>
      <c r="Y57" s="121">
        <f>IF($P57&gt;29.999,(VLOOKUP($N57,Assumptions!$B$24:$J$34,8,FALSE)),(VLOOKUP($N57,Assumptions!$B$24:$J$34,8,FALSE)/30*$P57))</f>
        <v>28183.378995433792</v>
      </c>
      <c r="Z57" s="121">
        <f>IF($P57&gt;29.999,(VLOOKUP($N57,Assumptions!$B$24:$J$34,9,FALSE)),(VLOOKUP($N57,Assumptions!$B$24:$J$34,9,FALSE)/30*$P57))</f>
        <v>22018.264840182648</v>
      </c>
      <c r="AA57" s="148">
        <f>((X57*(1-(1+Assumptions!$H$40)^(-1*(G57-Q57))))/Assumptions!$H$40)-((X57*(1-(1+Assumptions!$H$40)^(-1*(T57))))/Assumptions!$H$40)</f>
        <v>67137.15296735114</v>
      </c>
      <c r="AB57" s="148">
        <f>((Y57*(1-(1+Assumptions!$I$40)^(-1*(G57-Q57))))/Assumptions!$I$40)-((Y57*(1-(1+Assumptions!$I$40)^(-1*(T57))))/Assumptions!$I$40)</f>
        <v>85935.555798209476</v>
      </c>
      <c r="AC57" s="148">
        <f>((Z57*(1-(1+Assumptions!$J$40)^(-1*(G57-Q57))))/Assumptions!$J$40)-((Z57*(1-(1+Assumptions!$J$40)^(-1*(T57))))/Assumptions!$J$40)</f>
        <v>67137.15296735114</v>
      </c>
      <c r="AD57" s="148">
        <f>((X57*(1-(1+Assumptions!$H$46)^(-1*(G57-Q57))))/Assumptions!$H$46)-((X57*(1-(1+Assumptions!$H$46)^(-1*(T57))))/Assumptions!$H$46)</f>
        <v>125041.42345825091</v>
      </c>
      <c r="AE57" s="148">
        <f>((Y57*(1-(1+Assumptions!$I$46)^(-1*(G57-Q57))))/Assumptions!$I$46)-((Y57*(1-(1+Assumptions!$I$46)^(-1*(T57))))/Assumptions!$I$46)</f>
        <v>160053.02202656126</v>
      </c>
      <c r="AF57" s="148">
        <f>((Z57*(1-(1+Assumptions!$J$46)^(-1*(G57-Q57))))/Assumptions!$J$46)-((Z57*(1-(1+Assumptions!$J$46)^(-1*(T57))))/Assumptions!$J$46)</f>
        <v>125041.42345825091</v>
      </c>
      <c r="AG57" s="145">
        <v>37134</v>
      </c>
      <c r="AH57" s="148">
        <f>((AI57*(1-(1+Assumptions!$M$40)^(-1*(G57-Q57))))/Assumptions!$M$40)-((AI57*(1-(1+Assumptions!$M$40)^(-1*(T57))))/Assumptions!$M$40)</f>
        <v>203861.72151279892</v>
      </c>
      <c r="AI57" s="409">
        <f>IF(P57&gt;29.999,(VLOOKUP(N57,Assumptions!$B$24:$M$34,12,FALSE)),(VLOOKUP(N57,Assumptions!$B$24:$M$34,12,FALSE)/30*P57))</f>
        <v>31706.301369863013</v>
      </c>
      <c r="AJ57" s="148">
        <f>((AI57*(1-(1+Assumptions!$L$40)^(-1*(G57-Q57))))/Assumptions!$L$40)-((AI57*(1-(1+Assumptions!$L$40)^(-1*(T57))))/Assumptions!$L$40)</f>
        <v>96677.500272985664</v>
      </c>
      <c r="AK57" s="148">
        <f>((AI57*(1-(1+Assumptions!$L$46)^(-1*(G57-Q57))))/Assumptions!$L$46)-((AI57*(1-(1+Assumptions!$L$46)^(-1*(T57))))/Assumptions!$L$46)</f>
        <v>180059.64977988135</v>
      </c>
      <c r="AL57" s="148">
        <f>IF(Q57&gt;Assumptions!$L$3,W57,0)</f>
        <v>0</v>
      </c>
      <c r="AM57" s="3"/>
      <c r="AN57" s="3"/>
      <c r="AO57" s="114"/>
      <c r="AP57" s="116"/>
      <c r="AQ57" s="114"/>
      <c r="AR57" s="116"/>
    </row>
    <row r="58" spans="1:44" x14ac:dyDescent="0.2">
      <c r="A58" s="3" t="s">
        <v>104</v>
      </c>
      <c r="B58" s="189">
        <f t="shared" si="3"/>
        <v>54</v>
      </c>
      <c r="D58" s="503" t="s">
        <v>386</v>
      </c>
      <c r="E58" s="255"/>
      <c r="F58" s="36" t="s">
        <v>6</v>
      </c>
      <c r="G58" s="5">
        <f>IF(F58="f",Assumptions!$E$39,Assumptions!$E$38)</f>
        <v>81.8</v>
      </c>
      <c r="H58" s="114">
        <v>19046</v>
      </c>
      <c r="I58" s="116">
        <v>33972</v>
      </c>
      <c r="J58" s="22"/>
      <c r="K58" s="22"/>
      <c r="L58" s="91">
        <f>(((H58+(Assumptions!$E$43*365))-I58))/365</f>
        <v>24.106849315068494</v>
      </c>
      <c r="M58" s="240"/>
      <c r="N58" s="125" t="s">
        <v>224</v>
      </c>
      <c r="O58" s="121">
        <f>IF($P58&gt;29.999,(VLOOKUP($N58,Assumptions!$B$24:$J$34,6,FALSE)),(VLOOKUP($N58,Assumptions!$B$24:$J$34,6,FALSE)/30*$P58))</f>
        <v>10395.616438356163</v>
      </c>
      <c r="P58" s="7">
        <f t="shared" si="4"/>
        <v>8.6630136986301363</v>
      </c>
      <c r="Q58" s="39">
        <f t="shared" si="5"/>
        <v>49.556164383561644</v>
      </c>
      <c r="R58" s="23"/>
      <c r="T58" s="81">
        <f>IF(Q58&lt;=Assumptions!$E$43,Assumptions!$E$43-Q58,Assumptions!$E$45)</f>
        <v>15.443835616438356</v>
      </c>
      <c r="U58" s="191">
        <f t="shared" si="6"/>
        <v>8.6630136986301363</v>
      </c>
      <c r="V58" s="277">
        <f>((O58*(1-(1+Assumptions!$G$40)^(-1*(G58-Q58))))/Assumptions!$G$40)-((O58*(1-(1+Assumptions!$G$40)^(-1*(T58))))/Assumptions!$G$40)</f>
        <v>23345.822862124071</v>
      </c>
      <c r="W58" s="277">
        <f>((O58*(1-(1+Assumptions!$G$46)^(-1*(G58-Q58))))/Assumptions!$G$46)-((O58*(1-(1+Assumptions!$G$46)^(-1*(T58))))/Assumptions!$G$46)</f>
        <v>43411.994358215423</v>
      </c>
      <c r="X58" s="121">
        <f>IF($P58&gt;29.999,(VLOOKUP($N58,Assumptions!$B$24:$J$34,7,FALSE)),(VLOOKUP($N58,Assumptions!$B$24:$J$34,7,FALSE)/30*$P58))</f>
        <v>7219.178082191781</v>
      </c>
      <c r="Y58" s="121">
        <f>IF($P58&gt;29.999,(VLOOKUP($N58,Assumptions!$B$24:$J$34,8,FALSE)),(VLOOKUP($N58,Assumptions!$B$24:$J$34,8,FALSE)/30*$P58))</f>
        <v>9240.5479452054788</v>
      </c>
      <c r="Z58" s="121">
        <f>IF($P58&gt;29.999,(VLOOKUP($N58,Assumptions!$B$24:$J$34,9,FALSE)),(VLOOKUP($N58,Assumptions!$B$24:$J$34,9,FALSE)/30*$P58))</f>
        <v>7219.178082191781</v>
      </c>
      <c r="AA58" s="148">
        <f>((X58*(1-(1+Assumptions!$H$40)^(-1*(G58-Q58))))/Assumptions!$H$40)-((X58*(1-(1+Assumptions!$H$40)^(-1*(T58))))/Assumptions!$H$40)</f>
        <v>16212.376987586176</v>
      </c>
      <c r="AB58" s="148">
        <f>((Y58*(1-(1+Assumptions!$I$40)^(-1*(G58-Q58))))/Assumptions!$I$40)-((Y58*(1-(1+Assumptions!$I$40)^(-1*(T58))))/Assumptions!$I$40)</f>
        <v>20751.842544110288</v>
      </c>
      <c r="AC58" s="148">
        <f>((Z58*(1-(1+Assumptions!$J$40)^(-1*(G58-Q58))))/Assumptions!$J$40)-((Z58*(1-(1+Assumptions!$J$40)^(-1*(T58))))/Assumptions!$J$40)</f>
        <v>16212.376987586176</v>
      </c>
      <c r="AD58" s="148">
        <f>((X58*(1-(1+Assumptions!$H$46)^(-1*(G58-Q58))))/Assumptions!$H$46)-((X58*(1-(1+Assumptions!$H$46)^(-1*(T58))))/Assumptions!$H$46)</f>
        <v>30147.21830431628</v>
      </c>
      <c r="AE58" s="148">
        <f>((Y58*(1-(1+Assumptions!$I$46)^(-1*(G58-Q58))))/Assumptions!$I$46)-((Y58*(1-(1+Assumptions!$I$46)^(-1*(T58))))/Assumptions!$I$46)</f>
        <v>38588.43942952482</v>
      </c>
      <c r="AF58" s="148">
        <f>((Z58*(1-(1+Assumptions!$J$46)^(-1*(G58-Q58))))/Assumptions!$J$46)-((Z58*(1-(1+Assumptions!$J$46)^(-1*(T58))))/Assumptions!$J$46)</f>
        <v>30147.21830431628</v>
      </c>
      <c r="AG58" s="145">
        <v>37134</v>
      </c>
      <c r="AH58" s="148">
        <f>((AI58*(1-(1+Assumptions!$M$40)^(-1*(G58-Q58))))/Assumptions!$M$40)-((AI58*(1-(1+Assumptions!$M$40)^(-1*(T58))))/Assumptions!$M$40)</f>
        <v>49045.233283633192</v>
      </c>
      <c r="AI58" s="409">
        <f>IF(P58&gt;29.999,(VLOOKUP(N58,Assumptions!$B$24:$M$34,12,FALSE)),(VLOOKUP(N58,Assumptions!$B$24:$M$34,12,FALSE)/30*P58))</f>
        <v>10395.616438356163</v>
      </c>
      <c r="AJ58" s="148">
        <f>((AI58*(1-(1+Assumptions!$L$40)^(-1*(G58-Q58))))/Assumptions!$L$40)-((AI58*(1-(1+Assumptions!$L$40)^(-1*(T58))))/Assumptions!$L$40)</f>
        <v>23345.822862124071</v>
      </c>
      <c r="AK58" s="148">
        <f>((AI58*(1-(1+Assumptions!$L$46)^(-1*(G58-Q58))))/Assumptions!$L$46)-((AI58*(1-(1+Assumptions!$L$46)^(-1*(T58))))/Assumptions!$L$46)</f>
        <v>43411.994358215423</v>
      </c>
      <c r="AL58" s="148">
        <f>IF(Q58&gt;Assumptions!$L$3,W58,0)</f>
        <v>0</v>
      </c>
      <c r="AM58" s="3"/>
      <c r="AN58" s="3"/>
      <c r="AO58" s="114"/>
      <c r="AP58" s="116"/>
      <c r="AQ58" s="114"/>
      <c r="AR58" s="116"/>
    </row>
    <row r="59" spans="1:44" x14ac:dyDescent="0.2">
      <c r="A59" s="3" t="s">
        <v>104</v>
      </c>
      <c r="B59" s="189">
        <f t="shared" si="3"/>
        <v>55</v>
      </c>
      <c r="D59" s="503" t="s">
        <v>387</v>
      </c>
      <c r="E59" s="255"/>
      <c r="F59" s="36" t="s">
        <v>5</v>
      </c>
      <c r="G59" s="5">
        <f>IF(F59="f",Assumptions!$E$39,Assumptions!$E$38)</f>
        <v>89.3</v>
      </c>
      <c r="H59" s="114">
        <v>19985</v>
      </c>
      <c r="I59" s="116">
        <v>29590</v>
      </c>
      <c r="J59" s="22"/>
      <c r="K59" s="22"/>
      <c r="L59" s="91">
        <f>(((H59+(Assumptions!$E$43*365))-I59))/365</f>
        <v>38.684931506849317</v>
      </c>
      <c r="M59" s="240"/>
      <c r="N59" s="125" t="s">
        <v>223</v>
      </c>
      <c r="O59" s="121">
        <f>IF($P59&gt;29.999,(VLOOKUP($N59,Assumptions!$B$24:$J$34,6,FALSE)),(VLOOKUP($N59,Assumptions!$B$24:$J$34,6,FALSE)/30*$P59))</f>
        <v>24802.191780821919</v>
      </c>
      <c r="P59" s="7">
        <f t="shared" si="4"/>
        <v>20.668493150684931</v>
      </c>
      <c r="Q59" s="39">
        <f t="shared" si="5"/>
        <v>46.983561643835614</v>
      </c>
      <c r="R59" s="23"/>
      <c r="T59" s="81">
        <f>IF(Q59&lt;=Assumptions!$E$43,Assumptions!$E$43-Q59,Assumptions!$E$45)</f>
        <v>18.016438356164386</v>
      </c>
      <c r="U59" s="191">
        <f t="shared" si="6"/>
        <v>20.668493150684931</v>
      </c>
      <c r="V59" s="277">
        <f>((O59*(1-(1+Assumptions!$G$40)^(-1*(G59-Q59))))/Assumptions!$G$40)-((O59*(1-(1+Assumptions!$G$40)^(-1*(T59))))/Assumptions!$G$40)</f>
        <v>51152.44324360782</v>
      </c>
      <c r="W59" s="277">
        <f>((O59*(1-(1+Assumptions!$G$46)^(-1*(G59-Q59))))/Assumptions!$G$46)-((O59*(1-(1+Assumptions!$G$46)^(-1*(T59))))/Assumptions!$G$46)</f>
        <v>107853.31956373382</v>
      </c>
      <c r="X59" s="121">
        <f>IF($P59&gt;29.999,(VLOOKUP($N59,Assumptions!$B$24:$J$34,7,FALSE)),(VLOOKUP($N59,Assumptions!$B$24:$J$34,7,FALSE)/30*$P59))</f>
        <v>11712.146118721461</v>
      </c>
      <c r="Y59" s="121">
        <f>IF($P59&gt;29.999,(VLOOKUP($N59,Assumptions!$B$24:$J$34,8,FALSE)),(VLOOKUP($N59,Assumptions!$B$24:$J$34,8,FALSE)/30*$P59))</f>
        <v>14467.945205479451</v>
      </c>
      <c r="Z59" s="121">
        <f>IF($P59&gt;29.999,(VLOOKUP($N59,Assumptions!$B$24:$J$34,9,FALSE)),(VLOOKUP($N59,Assumptions!$B$24:$J$34,9,FALSE)/30*$P59))</f>
        <v>11712.146118721461</v>
      </c>
      <c r="AA59" s="148">
        <f>((X59*(1-(1+Assumptions!$H$40)^(-1*(G59-Q59))))/Assumptions!$H$40)-((X59*(1-(1+Assumptions!$H$40)^(-1*(T59))))/Assumptions!$H$40)</f>
        <v>24155.320420592558</v>
      </c>
      <c r="AB59" s="148">
        <f>((Y59*(1-(1+Assumptions!$I$40)^(-1*(G59-Q59))))/Assumptions!$I$40)-((Y59*(1-(1+Assumptions!$I$40)^(-1*(T59))))/Assumptions!$I$40)</f>
        <v>29838.925225437881</v>
      </c>
      <c r="AC59" s="148">
        <f>((Z59*(1-(1+Assumptions!$J$40)^(-1*(G59-Q59))))/Assumptions!$J$40)-((Z59*(1-(1+Assumptions!$J$40)^(-1*(T59))))/Assumptions!$J$40)</f>
        <v>24155.320420592558</v>
      </c>
      <c r="AD59" s="148">
        <f>((X59*(1-(1+Assumptions!$H$46)^(-1*(G59-Q59))))/Assumptions!$H$46)-((X59*(1-(1+Assumptions!$H$46)^(-1*(T59))))/Assumptions!$H$46)</f>
        <v>50930.734238429854</v>
      </c>
      <c r="AE59" s="148">
        <f>((Y59*(1-(1+Assumptions!$I$46)^(-1*(G59-Q59))))/Assumptions!$I$46)-((Y59*(1-(1+Assumptions!$I$46)^(-1*(T59))))/Assumptions!$I$46)</f>
        <v>62914.436412178067</v>
      </c>
      <c r="AF59" s="148">
        <f>((Z59*(1-(1+Assumptions!$J$46)^(-1*(G59-Q59))))/Assumptions!$J$46)-((Z59*(1-(1+Assumptions!$J$46)^(-1*(T59))))/Assumptions!$J$46)</f>
        <v>50930.734238429854</v>
      </c>
      <c r="AG59" s="145">
        <v>37134</v>
      </c>
      <c r="AH59" s="148">
        <f>((AI59*(1-(1+Assumptions!$M$40)^(-1*(G59-Q59))))/Assumptions!$M$40)-((AI59*(1-(1+Assumptions!$M$40)^(-1*(T59))))/Assumptions!$M$40)</f>
        <v>125078.906129329</v>
      </c>
      <c r="AI59" s="409">
        <f>IF(P59&gt;29.999,(VLOOKUP(N59,Assumptions!$B$24:$M$34,12,FALSE)),(VLOOKUP(N59,Assumptions!$B$24:$M$34,12,FALSE)/30*P59))</f>
        <v>24802.191780821919</v>
      </c>
      <c r="AJ59" s="148">
        <f>((AI59*(1-(1+Assumptions!$L$40)^(-1*(G59-Q59))))/Assumptions!$L$40)-((AI59*(1-(1+Assumptions!$L$40)^(-1*(T59))))/Assumptions!$L$40)</f>
        <v>51152.44324360782</v>
      </c>
      <c r="AK59" s="148">
        <f>((AI59*(1-(1+Assumptions!$L$46)^(-1*(G59-Q59))))/Assumptions!$L$46)-((AI59*(1-(1+Assumptions!$L$46)^(-1*(T59))))/Assumptions!$L$46)</f>
        <v>107853.31956373382</v>
      </c>
      <c r="AL59" s="148">
        <f>IF(Q59&gt;Assumptions!$L$3,W59,0)</f>
        <v>0</v>
      </c>
      <c r="AM59" s="3"/>
      <c r="AN59" s="3"/>
      <c r="AO59" s="114"/>
      <c r="AP59" s="116"/>
      <c r="AQ59" s="114"/>
      <c r="AR59" s="116"/>
    </row>
    <row r="60" spans="1:44" x14ac:dyDescent="0.2">
      <c r="A60" s="3" t="s">
        <v>104</v>
      </c>
      <c r="B60" s="189">
        <f t="shared" si="3"/>
        <v>56</v>
      </c>
      <c r="D60" s="503" t="s">
        <v>388</v>
      </c>
      <c r="E60" s="255"/>
      <c r="F60" s="36" t="s">
        <v>6</v>
      </c>
      <c r="G60" s="5">
        <f>IF(F60="f",Assumptions!$E$39,Assumptions!$E$38)</f>
        <v>81.8</v>
      </c>
      <c r="H60" s="114">
        <v>18816</v>
      </c>
      <c r="I60" s="116">
        <v>33398</v>
      </c>
      <c r="J60" s="22"/>
      <c r="K60" s="22"/>
      <c r="L60" s="91">
        <f>(((H60+(Assumptions!$E$43*365))-I60))/365</f>
        <v>25.049315068493151</v>
      </c>
      <c r="M60" s="240"/>
      <c r="N60" s="125" t="s">
        <v>224</v>
      </c>
      <c r="O60" s="121">
        <f>IF($P60&gt;29.999,(VLOOKUP($N60,Assumptions!$B$24:$J$34,6,FALSE)),(VLOOKUP($N60,Assumptions!$B$24:$J$34,6,FALSE)/30*$P60))</f>
        <v>12282.739726027397</v>
      </c>
      <c r="P60" s="7">
        <f t="shared" si="4"/>
        <v>10.235616438356164</v>
      </c>
      <c r="Q60" s="39">
        <f t="shared" si="5"/>
        <v>50.186301369863017</v>
      </c>
      <c r="R60" s="23"/>
      <c r="T60" s="81">
        <f>IF(Q60&lt;=Assumptions!$E$43,Assumptions!$E$43-Q60,Assumptions!$E$45)</f>
        <v>14.813698630136983</v>
      </c>
      <c r="U60" s="191">
        <f t="shared" si="6"/>
        <v>10.235616438356164</v>
      </c>
      <c r="V60" s="277">
        <f>((O60*(1-(1+Assumptions!$G$40)^(-1*(G60-Q60))))/Assumptions!$G$40)-((O60*(1-(1+Assumptions!$G$40)^(-1*(T60))))/Assumptions!$G$40)</f>
        <v>29123.127299016924</v>
      </c>
      <c r="W60" s="277">
        <f>((O60*(1-(1+Assumptions!$G$46)^(-1*(G60-Q60))))/Assumptions!$G$46)-((O60*(1-(1+Assumptions!$G$46)^(-1*(T60))))/Assumptions!$G$46)</f>
        <v>53229.91374528133</v>
      </c>
      <c r="X60" s="121">
        <f>IF($P60&gt;29.999,(VLOOKUP($N60,Assumptions!$B$24:$J$34,7,FALSE)),(VLOOKUP($N60,Assumptions!$B$24:$J$34,7,FALSE)/30*$P60))</f>
        <v>8529.6803652968047</v>
      </c>
      <c r="Y60" s="121">
        <f>IF($P60&gt;29.999,(VLOOKUP($N60,Assumptions!$B$24:$J$34,8,FALSE)),(VLOOKUP($N60,Assumptions!$B$24:$J$34,8,FALSE)/30*$P60))</f>
        <v>10917.990867579909</v>
      </c>
      <c r="Z60" s="121">
        <f>IF($P60&gt;29.999,(VLOOKUP($N60,Assumptions!$B$24:$J$34,9,FALSE)),(VLOOKUP($N60,Assumptions!$B$24:$J$34,9,FALSE)/30*$P60))</f>
        <v>8529.6803652968047</v>
      </c>
      <c r="AA60" s="148">
        <f>((X60*(1-(1+Assumptions!$H$40)^(-1*(G60-Q60))))/Assumptions!$H$40)-((X60*(1-(1+Assumptions!$H$40)^(-1*(T60))))/Assumptions!$H$40)</f>
        <v>20224.393957650638</v>
      </c>
      <c r="AB60" s="148">
        <f>((Y60*(1-(1+Assumptions!$I$40)^(-1*(G60-Q60))))/Assumptions!$I$40)-((Y60*(1-(1+Assumptions!$I$40)^(-1*(T60))))/Assumptions!$I$40)</f>
        <v>25887.224265792815</v>
      </c>
      <c r="AC60" s="148">
        <f>((Z60*(1-(1+Assumptions!$J$40)^(-1*(G60-Q60))))/Assumptions!$J$40)-((Z60*(1-(1+Assumptions!$J$40)^(-1*(T60))))/Assumptions!$J$40)</f>
        <v>20224.393957650638</v>
      </c>
      <c r="AD60" s="148">
        <f>((X60*(1-(1+Assumptions!$H$46)^(-1*(G60-Q60))))/Assumptions!$H$46)-((X60*(1-(1+Assumptions!$H$46)^(-1*(T60))))/Assumptions!$H$46)</f>
        <v>36965.217878667594</v>
      </c>
      <c r="AE60" s="148">
        <f>((Y60*(1-(1+Assumptions!$I$46)^(-1*(G60-Q60))))/Assumptions!$I$46)-((Y60*(1-(1+Assumptions!$I$46)^(-1*(T60))))/Assumptions!$I$46)</f>
        <v>47315.478884694516</v>
      </c>
      <c r="AF60" s="148">
        <f>((Z60*(1-(1+Assumptions!$J$46)^(-1*(G60-Q60))))/Assumptions!$J$46)-((Z60*(1-(1+Assumptions!$J$46)^(-1*(T60))))/Assumptions!$J$46)</f>
        <v>36965.217878667594</v>
      </c>
      <c r="AG60" s="145">
        <v>37134</v>
      </c>
      <c r="AH60" s="148">
        <f>((AI60*(1-(1+Assumptions!$M$40)^(-1*(G60-Q60))))/Assumptions!$M$40)-((AI60*(1-(1+Assumptions!$M$40)^(-1*(T60))))/Assumptions!$M$40)</f>
        <v>59936.867481650741</v>
      </c>
      <c r="AI60" s="409">
        <f>IF(P60&gt;29.999,(VLOOKUP(N60,Assumptions!$B$24:$M$34,12,FALSE)),(VLOOKUP(N60,Assumptions!$B$24:$M$34,12,FALSE)/30*P60))</f>
        <v>12282.739726027397</v>
      </c>
      <c r="AJ60" s="148">
        <f>((AI60*(1-(1+Assumptions!$L$40)^(-1*(G60-Q60))))/Assumptions!$L$40)-((AI60*(1-(1+Assumptions!$L$40)^(-1*(T60))))/Assumptions!$L$40)</f>
        <v>29123.127299016924</v>
      </c>
      <c r="AK60" s="148">
        <f>((AI60*(1-(1+Assumptions!$L$46)^(-1*(G60-Q60))))/Assumptions!$L$46)-((AI60*(1-(1+Assumptions!$L$46)^(-1*(T60))))/Assumptions!$L$46)</f>
        <v>53229.91374528133</v>
      </c>
      <c r="AL60" s="148">
        <f>IF(Q60&gt;Assumptions!$L$3,W60,0)</f>
        <v>0</v>
      </c>
      <c r="AM60" s="3"/>
      <c r="AN60" s="3"/>
      <c r="AO60" s="114"/>
      <c r="AP60" s="116"/>
      <c r="AQ60" s="114"/>
      <c r="AR60" s="116"/>
    </row>
    <row r="61" spans="1:44" x14ac:dyDescent="0.2">
      <c r="A61" s="3" t="s">
        <v>104</v>
      </c>
      <c r="B61" s="189">
        <f t="shared" si="3"/>
        <v>57</v>
      </c>
      <c r="D61" s="503" t="s">
        <v>389</v>
      </c>
      <c r="E61" s="255"/>
      <c r="F61" s="36" t="s">
        <v>6</v>
      </c>
      <c r="G61" s="5">
        <f>IF(F61="f",Assumptions!$E$39,Assumptions!$E$38)</f>
        <v>81.8</v>
      </c>
      <c r="H61" s="114">
        <v>11942</v>
      </c>
      <c r="I61" s="116">
        <v>25172</v>
      </c>
      <c r="J61" s="22"/>
      <c r="K61" s="22"/>
      <c r="L61" s="91">
        <f>(((H61+(Assumptions!$E$43*365))-I61))/365</f>
        <v>28.753424657534246</v>
      </c>
      <c r="M61" s="240"/>
      <c r="N61" s="125" t="s">
        <v>227</v>
      </c>
      <c r="O61" s="121">
        <f>IF($P61&gt;29.999,(VLOOKUP($N61,Assumptions!$B$24:$J$34,6,FALSE)),(VLOOKUP($N61,Assumptions!$B$24:$J$34,6,FALSE)/30*$P61))</f>
        <v>36000</v>
      </c>
      <c r="P61" s="7">
        <f t="shared" si="4"/>
        <v>32.772602739726025</v>
      </c>
      <c r="Q61" s="39">
        <f t="shared" si="5"/>
        <v>69.019178082191786</v>
      </c>
      <c r="R61" s="23"/>
      <c r="T61" s="81">
        <f>IF(Q61&lt;=Assumptions!$E$43,Assumptions!$E$43-Q61,Assumptions!$E$45)</f>
        <v>3</v>
      </c>
      <c r="U61" s="191">
        <f t="shared" si="6"/>
        <v>32.772602739726025</v>
      </c>
      <c r="V61" s="277">
        <f>((O61*(1-(1+Assumptions!$G$40)^(-1*(G61-Q61))))/Assumptions!$G$40)-((O61*(1-(1+Assumptions!$G$40)^(-1*(T61))))/Assumptions!$G$40)</f>
        <v>175914.13300086447</v>
      </c>
      <c r="W61" s="277">
        <f>((O61*(1-(1+Assumptions!$G$46)^(-1*(G61-Q61))))/Assumptions!$G$46)-((O61*(1-(1+Assumptions!$G$46)^(-1*(T61))))/Assumptions!$G$46)</f>
        <v>217872.50696629001</v>
      </c>
      <c r="X61" s="121">
        <f>IF($P61&gt;29.999,(VLOOKUP($N61,Assumptions!$B$24:$J$34,7,FALSE)),(VLOOKUP($N61,Assumptions!$B$24:$J$34,7,FALSE)/30*$P61))</f>
        <v>28500</v>
      </c>
      <c r="Y61" s="121">
        <f>IF($P61&gt;29.999,(VLOOKUP($N61,Assumptions!$B$24:$J$34,8,FALSE)),(VLOOKUP($N61,Assumptions!$B$24:$J$34,8,FALSE)/30*$P61))</f>
        <v>36000</v>
      </c>
      <c r="Z61" s="121">
        <f>IF($P61&gt;29.999,(VLOOKUP($N61,Assumptions!$B$24:$J$34,9,FALSE)),(VLOOKUP($N61,Assumptions!$B$24:$J$34,9,FALSE)/30*$P61))</f>
        <v>35000</v>
      </c>
      <c r="AA61" s="148">
        <f>((X61*(1-(1+Assumptions!$H$40)^(-1*(G61-Q61))))/Assumptions!$H$40)-((X61*(1-(1+Assumptions!$H$40)^(-1*(T61))))/Assumptions!$H$40)</f>
        <v>139265.35529235104</v>
      </c>
      <c r="AB61" s="148">
        <f>((Y61*(1-(1+Assumptions!$I$40)^(-1*(G61-Q61))))/Assumptions!$I$40)-((Y61*(1-(1+Assumptions!$I$40)^(-1*(T61))))/Assumptions!$I$40)</f>
        <v>175914.13300086447</v>
      </c>
      <c r="AC61" s="148">
        <f>((Z61*(1-(1+Assumptions!$J$40)^(-1*(G61-Q61))))/Assumptions!$J$40)-((Z61*(1-(1+Assumptions!$J$40)^(-1*(T61))))/Assumptions!$J$40)</f>
        <v>171027.629306396</v>
      </c>
      <c r="AD61" s="148">
        <f>((X61*(1-(1+Assumptions!$H$46)^(-1*(G61-Q61))))/Assumptions!$H$46)-((X61*(1-(1+Assumptions!$H$46)^(-1*(T61))))/Assumptions!$H$46)</f>
        <v>172482.40134831291</v>
      </c>
      <c r="AE61" s="148">
        <f>((Y61*(1-(1+Assumptions!$I$46)^(-1*(G61-Q61))))/Assumptions!$I$46)-((Y61*(1-(1+Assumptions!$I$46)^(-1*(T61))))/Assumptions!$I$46)</f>
        <v>217872.50696629001</v>
      </c>
      <c r="AF61" s="148">
        <f>((Z61*(1-(1+Assumptions!$J$46)^(-1*(G61-Q61))))/Assumptions!$J$46)-((Z61*(1-(1+Assumptions!$J$46)^(-1*(T61))))/Assumptions!$J$46)</f>
        <v>211820.49288389311</v>
      </c>
      <c r="AG61" s="145">
        <v>37134</v>
      </c>
      <c r="AH61" s="148">
        <f>((AI61*(1-(1+Assumptions!$M$40)^(-1*(G61-Q61))))/Assumptions!$M$40)-((AI61*(1-(1+Assumptions!$M$40)^(-1*(T61))))/Assumptions!$M$40)</f>
        <v>227237.19018749165</v>
      </c>
      <c r="AI61" s="409">
        <f>IF(P61&gt;29.999,(VLOOKUP(N61,Assumptions!$B$24:$M$34,12,FALSE)),(VLOOKUP(N61,Assumptions!$B$24:$M$34,12,FALSE)/30*P61))</f>
        <v>36000</v>
      </c>
      <c r="AJ61" s="148">
        <f>((AI61*(1-(1+Assumptions!$L$40)^(-1*(G61-Q61))))/Assumptions!$L$40)-((AI61*(1-(1+Assumptions!$L$40)^(-1*(T61))))/Assumptions!$L$40)</f>
        <v>175914.13300086447</v>
      </c>
      <c r="AK61" s="148">
        <f>((AI61*(1-(1+Assumptions!$L$46)^(-1*(G61-Q61))))/Assumptions!$L$46)-((AI61*(1-(1+Assumptions!$L$46)^(-1*(T61))))/Assumptions!$L$46)</f>
        <v>217872.50696629001</v>
      </c>
      <c r="AL61" s="148">
        <f>IF(Q61&gt;Assumptions!$L$3,W61,0)</f>
        <v>217872.50696629001</v>
      </c>
      <c r="AM61" s="3"/>
      <c r="AN61" s="3"/>
      <c r="AO61" s="114"/>
      <c r="AP61" s="116"/>
      <c r="AQ61" s="114"/>
      <c r="AR61" s="116"/>
    </row>
    <row r="62" spans="1:44" x14ac:dyDescent="0.2">
      <c r="A62" s="3" t="s">
        <v>104</v>
      </c>
      <c r="B62" s="189">
        <f t="shared" si="3"/>
        <v>58</v>
      </c>
      <c r="D62" s="503" t="s">
        <v>390</v>
      </c>
      <c r="F62" s="36" t="s">
        <v>5</v>
      </c>
      <c r="G62" s="5">
        <f>IF(F62="f",Assumptions!$E$39,Assumptions!$E$38)</f>
        <v>89.3</v>
      </c>
      <c r="H62" s="114">
        <v>13734</v>
      </c>
      <c r="I62" s="116">
        <v>22980</v>
      </c>
      <c r="J62" s="22"/>
      <c r="K62" s="22"/>
      <c r="L62" s="91">
        <f>(((H62+(Assumptions!$E$43*365))-I62))/365</f>
        <v>39.668493150684931</v>
      </c>
      <c r="M62" s="240"/>
      <c r="N62" s="125" t="s">
        <v>226</v>
      </c>
      <c r="O62" s="121">
        <f>IF($P62&gt;29.999,(VLOOKUP($N62,Assumptions!$B$24:$J$34,6,FALSE)),(VLOOKUP($N62,Assumptions!$B$24:$J$34,6,FALSE)/30*$P62))</f>
        <v>36000</v>
      </c>
      <c r="P62" s="7">
        <f t="shared" si="4"/>
        <v>38.778082191780825</v>
      </c>
      <c r="Q62" s="39">
        <f t="shared" si="5"/>
        <v>64.109589041095887</v>
      </c>
      <c r="R62" s="23"/>
      <c r="T62" s="81">
        <f>IF(Q62&lt;=Assumptions!$E$43,Assumptions!$E$43-Q62,Assumptions!$E$45)</f>
        <v>0.8904109589041127</v>
      </c>
      <c r="U62" s="191">
        <f t="shared" si="6"/>
        <v>38.778082191780825</v>
      </c>
      <c r="V62" s="277">
        <f>((O62*(1-(1+Assumptions!$G$40)^(-1*(G62-Q62))))/Assumptions!$G$40)-((O62*(1-(1+Assumptions!$G$40)^(-1*(T62))))/Assumptions!$G$40)</f>
        <v>324822.45972410776</v>
      </c>
      <c r="W62" s="277">
        <f>((O62*(1-(1+Assumptions!$G$46)^(-1*(G62-Q62))))/Assumptions!$G$46)-((O62*(1-(1+Assumptions!$G$46)^(-1*(T62))))/Assumptions!$G$46)</f>
        <v>428789.11082858685</v>
      </c>
      <c r="X62" s="121">
        <f>IF($P62&gt;29.999,(VLOOKUP($N62,Assumptions!$B$24:$J$34,7,FALSE)),(VLOOKUP($N62,Assumptions!$B$24:$J$34,7,FALSE)/30*$P62))</f>
        <v>28500</v>
      </c>
      <c r="Y62" s="121">
        <f>IF($P62&gt;29.999,(VLOOKUP($N62,Assumptions!$B$24:$J$34,8,FALSE)),(VLOOKUP($N62,Assumptions!$B$24:$J$34,8,FALSE)/30*$P62))</f>
        <v>36000</v>
      </c>
      <c r="Z62" s="121">
        <f>IF($P62&gt;29.999,(VLOOKUP($N62,Assumptions!$B$24:$J$34,9,FALSE)),(VLOOKUP($N62,Assumptions!$B$24:$J$34,9,FALSE)/30*$P62))</f>
        <v>32000</v>
      </c>
      <c r="AA62" s="148">
        <f>((X62*(1-(1+Assumptions!$H$40)^(-1*(G62-Q62))))/Assumptions!$H$40)-((X62*(1-(1+Assumptions!$H$40)^(-1*(T62))))/Assumptions!$H$40)</f>
        <v>257151.11394825196</v>
      </c>
      <c r="AB62" s="148">
        <f>((Y62*(1-(1+Assumptions!$I$40)^(-1*(G62-Q62))))/Assumptions!$I$40)-((Y62*(1-(1+Assumptions!$I$40)^(-1*(T62))))/Assumptions!$I$40)</f>
        <v>324822.45972410776</v>
      </c>
      <c r="AC62" s="148">
        <f>((Z62*(1-(1+Assumptions!$J$40)^(-1*(G62-Q62))))/Assumptions!$J$40)-((Z62*(1-(1+Assumptions!$J$40)^(-1*(T62))))/Assumptions!$J$40)</f>
        <v>288731.07531031797</v>
      </c>
      <c r="AD62" s="148">
        <f>((X62*(1-(1+Assumptions!$H$46)^(-1*(G62-Q62))))/Assumptions!$H$46)-((X62*(1-(1+Assumptions!$H$46)^(-1*(T62))))/Assumptions!$H$46)</f>
        <v>339458.04607263126</v>
      </c>
      <c r="AE62" s="148">
        <f>((Y62*(1-(1+Assumptions!$I$46)^(-1*(G62-Q62))))/Assumptions!$I$46)-((Y62*(1-(1+Assumptions!$I$46)^(-1*(T62))))/Assumptions!$I$46)</f>
        <v>428789.11082858685</v>
      </c>
      <c r="AF62" s="148">
        <f>((Z62*(1-(1+Assumptions!$J$46)^(-1*(G62-Q62))))/Assumptions!$J$46)-((Z62*(1-(1+Assumptions!$J$46)^(-1*(T62))))/Assumptions!$J$46)</f>
        <v>381145.87629207718</v>
      </c>
      <c r="AG62" s="145">
        <v>37134</v>
      </c>
      <c r="AH62" s="148">
        <f>((AI62*(1-(1+Assumptions!$M$40)^(-1*(G62-Q62))))/Assumptions!$M$40)-((AI62*(1-(1+Assumptions!$M$40)^(-1*(T62))))/Assumptions!$M$40)</f>
        <v>454170.34612412815</v>
      </c>
      <c r="AI62" s="409">
        <f>IF(P62&gt;29.999,(VLOOKUP(N62,Assumptions!$B$24:$M$34,12,FALSE)),(VLOOKUP(N62,Assumptions!$B$24:$M$34,12,FALSE)/30*P62))</f>
        <v>36000</v>
      </c>
      <c r="AJ62" s="148">
        <f>((AI62*(1-(1+Assumptions!$L$40)^(-1*(G62-Q62))))/Assumptions!$L$40)-((AI62*(1-(1+Assumptions!$L$40)^(-1*(T62))))/Assumptions!$L$40)</f>
        <v>324822.45972410776</v>
      </c>
      <c r="AK62" s="148">
        <f>((AI62*(1-(1+Assumptions!$L$46)^(-1*(G62-Q62))))/Assumptions!$L$46)-((AI62*(1-(1+Assumptions!$L$46)^(-1*(T62))))/Assumptions!$L$46)</f>
        <v>428789.11082858685</v>
      </c>
      <c r="AL62" s="148">
        <f>IF(Q62&gt;Assumptions!$L$3,W62,0)</f>
        <v>428789.11082858685</v>
      </c>
      <c r="AM62" s="3"/>
      <c r="AN62" s="3"/>
      <c r="AO62" s="114"/>
      <c r="AP62" s="116"/>
      <c r="AQ62" s="114"/>
      <c r="AR62" s="116"/>
    </row>
    <row r="63" spans="1:44" x14ac:dyDescent="0.2">
      <c r="A63" s="3" t="s">
        <v>104</v>
      </c>
      <c r="B63" s="189">
        <f t="shared" si="3"/>
        <v>59</v>
      </c>
      <c r="D63" s="503" t="s">
        <v>391</v>
      </c>
      <c r="F63" s="36" t="s">
        <v>6</v>
      </c>
      <c r="G63" s="5">
        <f>IF(F63="f",Assumptions!$E$39,Assumptions!$E$38)</f>
        <v>81.8</v>
      </c>
      <c r="H63" s="114">
        <v>15055</v>
      </c>
      <c r="I63" s="116">
        <v>24441</v>
      </c>
      <c r="J63" s="22"/>
      <c r="K63" s="22"/>
      <c r="L63" s="91">
        <f>(((H63+(Assumptions!$E$43*365))-I63))/365</f>
        <v>39.284931506849318</v>
      </c>
      <c r="M63" s="240"/>
      <c r="N63" s="125" t="s">
        <v>226</v>
      </c>
      <c r="O63" s="121">
        <f>IF($P63&gt;29.999,(VLOOKUP($N63,Assumptions!$B$24:$J$34,6,FALSE)),(VLOOKUP($N63,Assumptions!$B$24:$J$34,6,FALSE)/30*$P63))</f>
        <v>36000</v>
      </c>
      <c r="P63" s="7">
        <f t="shared" si="4"/>
        <v>34.775342465753425</v>
      </c>
      <c r="Q63" s="39">
        <f t="shared" si="5"/>
        <v>60.490410958904107</v>
      </c>
      <c r="R63" s="23"/>
      <c r="T63" s="81">
        <f>IF(Q63&lt;=Assumptions!$E$43,Assumptions!$E$43-Q63,Assumptions!$E$45)</f>
        <v>4.509589041095893</v>
      </c>
      <c r="U63" s="191">
        <f t="shared" si="6"/>
        <v>34.775342465753425</v>
      </c>
      <c r="V63" s="277">
        <f>((O63*(1-(1+Assumptions!$G$40)^(-1*(G63-Q63))))/Assumptions!$G$40)-((O63*(1-(1+Assumptions!$G$40)^(-1*(T63))))/Assumptions!$G$40)</f>
        <v>207439.75769711437</v>
      </c>
      <c r="W63" s="277">
        <f>((O63*(1-(1+Assumptions!$G$46)^(-1*(G63-Q63))))/Assumptions!$G$46)-((O63*(1-(1+Assumptions!$G$46)^(-1*(T63))))/Assumptions!$G$46)</f>
        <v>286055.12653821852</v>
      </c>
      <c r="X63" s="121">
        <f>IF($P63&gt;29.999,(VLOOKUP($N63,Assumptions!$B$24:$J$34,7,FALSE)),(VLOOKUP($N63,Assumptions!$B$24:$J$34,7,FALSE)/30*$P63))</f>
        <v>28500</v>
      </c>
      <c r="Y63" s="121">
        <f>IF($P63&gt;29.999,(VLOOKUP($N63,Assumptions!$B$24:$J$34,8,FALSE)),(VLOOKUP($N63,Assumptions!$B$24:$J$34,8,FALSE)/30*$P63))</f>
        <v>36000</v>
      </c>
      <c r="Z63" s="121">
        <f>IF($P63&gt;29.999,(VLOOKUP($N63,Assumptions!$B$24:$J$34,9,FALSE)),(VLOOKUP($N63,Assumptions!$B$24:$J$34,9,FALSE)/30*$P63))</f>
        <v>32000</v>
      </c>
      <c r="AA63" s="148">
        <f>((X63*(1-(1+Assumptions!$H$40)^(-1*(G63-Q63))))/Assumptions!$H$40)-((X63*(1-(1+Assumptions!$H$40)^(-1*(T63))))/Assumptions!$H$40)</f>
        <v>164223.14151021553</v>
      </c>
      <c r="AB63" s="148">
        <f>((Y63*(1-(1+Assumptions!$I$40)^(-1*(G63-Q63))))/Assumptions!$I$40)-((Y63*(1-(1+Assumptions!$I$40)^(-1*(T63))))/Assumptions!$I$40)</f>
        <v>207439.75769711437</v>
      </c>
      <c r="AC63" s="148">
        <f>((Z63*(1-(1+Assumptions!$J$40)^(-1*(G63-Q63))))/Assumptions!$J$40)-((Z63*(1-(1+Assumptions!$J$40)^(-1*(T63))))/Assumptions!$J$40)</f>
        <v>184390.89573076833</v>
      </c>
      <c r="AD63" s="148">
        <f>((X63*(1-(1+Assumptions!$H$46)^(-1*(G63-Q63))))/Assumptions!$H$46)-((X63*(1-(1+Assumptions!$H$46)^(-1*(T63))))/Assumptions!$H$46)</f>
        <v>226460.30850942299</v>
      </c>
      <c r="AE63" s="148">
        <f>((Y63*(1-(1+Assumptions!$I$46)^(-1*(G63-Q63))))/Assumptions!$I$46)-((Y63*(1-(1+Assumptions!$I$46)^(-1*(T63))))/Assumptions!$I$46)</f>
        <v>286055.12653821852</v>
      </c>
      <c r="AF63" s="148">
        <f>((Z63*(1-(1+Assumptions!$J$46)^(-1*(G63-Q63))))/Assumptions!$J$46)-((Z63*(1-(1+Assumptions!$J$46)^(-1*(T63))))/Assumptions!$J$46)</f>
        <v>254271.22358952757</v>
      </c>
      <c r="AG63" s="145">
        <v>37134</v>
      </c>
      <c r="AH63" s="148">
        <f>((AI63*(1-(1+Assumptions!$M$40)^(-1*(G63-Q63))))/Assumptions!$M$40)-((AI63*(1-(1+Assumptions!$M$40)^(-1*(T63))))/Assumptions!$M$40)</f>
        <v>304998.13609550323</v>
      </c>
      <c r="AI63" s="409">
        <f>IF(P63&gt;29.999,(VLOOKUP(N63,Assumptions!$B$24:$M$34,12,FALSE)),(VLOOKUP(N63,Assumptions!$B$24:$M$34,12,FALSE)/30*P63))</f>
        <v>36000</v>
      </c>
      <c r="AJ63" s="148">
        <f>((AI63*(1-(1+Assumptions!$L$40)^(-1*(G63-Q63))))/Assumptions!$L$40)-((AI63*(1-(1+Assumptions!$L$40)^(-1*(T63))))/Assumptions!$L$40)</f>
        <v>207439.75769711437</v>
      </c>
      <c r="AK63" s="148">
        <f>((AI63*(1-(1+Assumptions!$L$46)^(-1*(G63-Q63))))/Assumptions!$L$46)-((AI63*(1-(1+Assumptions!$L$46)^(-1*(T63))))/Assumptions!$L$46)</f>
        <v>286055.12653821852</v>
      </c>
      <c r="AL63" s="148">
        <f>IF(Q63&gt;Assumptions!$L$3,W63,0)</f>
        <v>286055.12653821852</v>
      </c>
      <c r="AM63" s="3"/>
      <c r="AN63" s="3"/>
      <c r="AO63" s="114"/>
      <c r="AP63" s="116"/>
      <c r="AQ63" s="114"/>
      <c r="AR63" s="116"/>
    </row>
    <row r="64" spans="1:44" x14ac:dyDescent="0.2">
      <c r="A64" s="3" t="s">
        <v>104</v>
      </c>
      <c r="B64" s="189">
        <f t="shared" si="3"/>
        <v>60</v>
      </c>
      <c r="D64" s="503" t="s">
        <v>392</v>
      </c>
      <c r="F64" s="36" t="s">
        <v>5</v>
      </c>
      <c r="G64" s="5">
        <f>IF(F64="f",Assumptions!$E$39,Assumptions!$E$38)</f>
        <v>89.3</v>
      </c>
      <c r="H64" s="114">
        <v>16713</v>
      </c>
      <c r="I64" s="116">
        <v>25537</v>
      </c>
      <c r="J64" s="22"/>
      <c r="K64" s="22"/>
      <c r="L64" s="91">
        <f>(((H64+(Assumptions!$E$43*365))-I64))/365</f>
        <v>40.824657534246576</v>
      </c>
      <c r="M64" s="240"/>
      <c r="N64" s="125" t="s">
        <v>225</v>
      </c>
      <c r="O64" s="121">
        <f>IF($P64&gt;29.999,(VLOOKUP($N64,Assumptions!$B$24:$J$34,6,FALSE)),(VLOOKUP($N64,Assumptions!$B$24:$J$34,6,FALSE)/30*$P64))</f>
        <v>36000</v>
      </c>
      <c r="P64" s="7">
        <f t="shared" si="4"/>
        <v>31.772602739726029</v>
      </c>
      <c r="Q64" s="39">
        <f t="shared" si="5"/>
        <v>55.947945205479449</v>
      </c>
      <c r="R64" s="23"/>
      <c r="T64" s="81">
        <f>IF(Q64&lt;=Assumptions!$E$43,Assumptions!$E$43-Q64,Assumptions!$E$45)</f>
        <v>9.0520547945205507</v>
      </c>
      <c r="U64" s="191">
        <f t="shared" si="6"/>
        <v>31.772602739726029</v>
      </c>
      <c r="V64" s="277">
        <f>((O64*(1-(1+Assumptions!$G$40)^(-1*(G64-Q64))))/Assumptions!$G$40)-((O64*(1-(1+Assumptions!$G$40)^(-1*(T64))))/Assumptions!$G$40)</f>
        <v>160762.33464107662</v>
      </c>
      <c r="W64" s="277">
        <f>((O64*(1-(1+Assumptions!$G$46)^(-1*(G64-Q64))))/Assumptions!$G$46)-((O64*(1-(1+Assumptions!$G$46)^(-1*(T64))))/Assumptions!$G$46)</f>
        <v>265277.55327166012</v>
      </c>
      <c r="X64" s="121">
        <f>IF($P64&gt;29.999,(VLOOKUP($N64,Assumptions!$B$24:$J$34,7,FALSE)),(VLOOKUP($N64,Assumptions!$B$24:$J$34,7,FALSE)/30*$P64))</f>
        <v>28500</v>
      </c>
      <c r="Y64" s="121">
        <f>IF($P64&gt;29.999,(VLOOKUP($N64,Assumptions!$B$24:$J$34,8,FALSE)),(VLOOKUP($N64,Assumptions!$B$24:$J$34,8,FALSE)/30*$P64))</f>
        <v>36000</v>
      </c>
      <c r="Z64" s="121">
        <f>IF($P64&gt;29.999,(VLOOKUP($N64,Assumptions!$B$24:$J$34,9,FALSE)),(VLOOKUP($N64,Assumptions!$B$24:$J$34,9,FALSE)/30*$P64))</f>
        <v>28000</v>
      </c>
      <c r="AA64" s="148">
        <f>((X64*(1-(1+Assumptions!$H$40)^(-1*(G64-Q64))))/Assumptions!$H$40)-((X64*(1-(1+Assumptions!$H$40)^(-1*(T64))))/Assumptions!$H$40)</f>
        <v>127270.18159085227</v>
      </c>
      <c r="AB64" s="148">
        <f>((Y64*(1-(1+Assumptions!$I$40)^(-1*(G64-Q64))))/Assumptions!$I$40)-((Y64*(1-(1+Assumptions!$I$40)^(-1*(T64))))/Assumptions!$I$40)</f>
        <v>160762.33464107662</v>
      </c>
      <c r="AC64" s="148">
        <f>((Z64*(1-(1+Assumptions!$J$40)^(-1*(G64-Q64))))/Assumptions!$J$40)-((Z64*(1-(1+Assumptions!$J$40)^(-1*(T64))))/Assumptions!$J$40)</f>
        <v>125037.37138750401</v>
      </c>
      <c r="AD64" s="148">
        <f>((X64*(1-(1+Assumptions!$H$46)^(-1*(G64-Q64))))/Assumptions!$H$46)-((X64*(1-(1+Assumptions!$H$46)^(-1*(T64))))/Assumptions!$H$46)</f>
        <v>210011.39634006424</v>
      </c>
      <c r="AE64" s="148">
        <f>((Y64*(1-(1+Assumptions!$I$46)^(-1*(G64-Q64))))/Assumptions!$I$46)-((Y64*(1-(1+Assumptions!$I$46)^(-1*(T64))))/Assumptions!$I$46)</f>
        <v>265277.55327166012</v>
      </c>
      <c r="AF64" s="148">
        <f>((Z64*(1-(1+Assumptions!$J$46)^(-1*(G64-Q64))))/Assumptions!$J$46)-((Z64*(1-(1+Assumptions!$J$46)^(-1*(T64))))/Assumptions!$J$46)</f>
        <v>206326.98587795786</v>
      </c>
      <c r="AG64" s="145">
        <v>37134</v>
      </c>
      <c r="AH64" s="148">
        <f>((AI64*(1-(1+Assumptions!$M$40)^(-1*(G64-Q64))))/Assumptions!$M$40)-((AI64*(1-(1+Assumptions!$M$40)^(-1*(T64))))/Assumptions!$M$40)</f>
        <v>293386.73959755967</v>
      </c>
      <c r="AI64" s="409">
        <f>IF(P64&gt;29.999,(VLOOKUP(N64,Assumptions!$B$24:$M$34,12,FALSE)),(VLOOKUP(N64,Assumptions!$B$24:$M$34,12,FALSE)/30*P64))</f>
        <v>36000</v>
      </c>
      <c r="AJ64" s="148">
        <f>((AI64*(1-(1+Assumptions!$L$40)^(-1*(G64-Q64))))/Assumptions!$L$40)-((AI64*(1-(1+Assumptions!$L$40)^(-1*(T64))))/Assumptions!$L$40)</f>
        <v>160762.33464107662</v>
      </c>
      <c r="AK64" s="148">
        <f>((AI64*(1-(1+Assumptions!$L$46)^(-1*(G64-Q64))))/Assumptions!$L$46)-((AI64*(1-(1+Assumptions!$L$46)^(-1*(T64))))/Assumptions!$L$46)</f>
        <v>265277.55327166012</v>
      </c>
      <c r="AL64" s="148">
        <f>IF(Q64&gt;Assumptions!$L$3,W64,0)</f>
        <v>265277.55327166012</v>
      </c>
      <c r="AM64" s="3"/>
      <c r="AN64" s="3"/>
      <c r="AO64" s="114"/>
      <c r="AP64" s="116"/>
      <c r="AQ64" s="114"/>
      <c r="AR64" s="116"/>
    </row>
    <row r="65" spans="1:44" x14ac:dyDescent="0.2">
      <c r="A65" s="3" t="s">
        <v>104</v>
      </c>
      <c r="B65" s="189">
        <f t="shared" si="3"/>
        <v>61</v>
      </c>
      <c r="D65" s="503" t="s">
        <v>393</v>
      </c>
      <c r="F65" s="36" t="s">
        <v>6</v>
      </c>
      <c r="G65" s="5">
        <f>IF(F65="f",Assumptions!$E$39,Assumptions!$E$38)</f>
        <v>81.8</v>
      </c>
      <c r="H65" s="114">
        <v>12889</v>
      </c>
      <c r="I65" s="116">
        <v>24441</v>
      </c>
      <c r="J65" s="22"/>
      <c r="K65" s="22"/>
      <c r="L65" s="91">
        <f>(((H65+(Assumptions!$E$43*365))-I65))/365</f>
        <v>33.350684931506848</v>
      </c>
      <c r="M65" s="240"/>
      <c r="N65" s="125" t="s">
        <v>227</v>
      </c>
      <c r="O65" s="121">
        <f>IF($P65&gt;29.999,(VLOOKUP($N65,Assumptions!$B$24:$J$34,6,FALSE)),(VLOOKUP($N65,Assumptions!$B$24:$J$34,6,FALSE)/30*$P65))</f>
        <v>36000</v>
      </c>
      <c r="P65" s="7">
        <f t="shared" si="4"/>
        <v>34.775342465753425</v>
      </c>
      <c r="Q65" s="39">
        <f t="shared" si="5"/>
        <v>66.424657534246577</v>
      </c>
      <c r="R65" s="23"/>
      <c r="T65" s="81">
        <f>IF(Q65&lt;=Assumptions!$E$43,Assumptions!$E$43-Q65,Assumptions!$E$45)</f>
        <v>3</v>
      </c>
      <c r="U65" s="191">
        <f t="shared" si="6"/>
        <v>34.775342465753425</v>
      </c>
      <c r="V65" s="277">
        <f>((O65*(1-(1+Assumptions!$G$40)^(-1*(G65-Q65))))/Assumptions!$G$40)-((O65*(1-(1+Assumptions!$G$40)^(-1*(T65))))/Assumptions!$G$40)</f>
        <v>202553.44092234969</v>
      </c>
      <c r="W65" s="277">
        <f>((O65*(1-(1+Assumptions!$G$46)^(-1*(G65-Q65))))/Assumptions!$G$46)-((O65*(1-(1+Assumptions!$G$46)^(-1*(T65))))/Assumptions!$G$46)</f>
        <v>257520.83639388939</v>
      </c>
      <c r="X65" s="121">
        <f>IF($P65&gt;29.999,(VLOOKUP($N65,Assumptions!$B$24:$J$34,7,FALSE)),(VLOOKUP($N65,Assumptions!$B$24:$J$34,7,FALSE)/30*$P65))</f>
        <v>28500</v>
      </c>
      <c r="Y65" s="121">
        <f>IF($P65&gt;29.999,(VLOOKUP($N65,Assumptions!$B$24:$J$34,8,FALSE)),(VLOOKUP($N65,Assumptions!$B$24:$J$34,8,FALSE)/30*$P65))</f>
        <v>36000</v>
      </c>
      <c r="Z65" s="121">
        <f>IF($P65&gt;29.999,(VLOOKUP($N65,Assumptions!$B$24:$J$34,9,FALSE)),(VLOOKUP($N65,Assumptions!$B$24:$J$34,9,FALSE)/30*$P65))</f>
        <v>35000</v>
      </c>
      <c r="AA65" s="148">
        <f>((X65*(1-(1+Assumptions!$H$40)^(-1*(G65-Q65))))/Assumptions!$H$40)-((X65*(1-(1+Assumptions!$H$40)^(-1*(T65))))/Assumptions!$H$40)</f>
        <v>160354.80739686015</v>
      </c>
      <c r="AB65" s="148">
        <f>((Y65*(1-(1+Assumptions!$I$40)^(-1*(G65-Q65))))/Assumptions!$I$40)-((Y65*(1-(1+Assumptions!$I$40)^(-1*(T65))))/Assumptions!$I$40)</f>
        <v>202553.44092234969</v>
      </c>
      <c r="AC65" s="148">
        <f>((Z65*(1-(1+Assumptions!$J$40)^(-1*(G65-Q65))))/Assumptions!$J$40)-((Z65*(1-(1+Assumptions!$J$40)^(-1*(T65))))/Assumptions!$J$40)</f>
        <v>196926.95645228442</v>
      </c>
      <c r="AD65" s="148">
        <f>((X65*(1-(1+Assumptions!$H$46)^(-1*(G65-Q65))))/Assumptions!$H$46)-((X65*(1-(1+Assumptions!$H$46)^(-1*(T65))))/Assumptions!$H$46)</f>
        <v>203870.66214516241</v>
      </c>
      <c r="AE65" s="148">
        <f>((Y65*(1-(1+Assumptions!$I$46)^(-1*(G65-Q65))))/Assumptions!$I$46)-((Y65*(1-(1+Assumptions!$I$46)^(-1*(T65))))/Assumptions!$I$46)</f>
        <v>257520.83639388939</v>
      </c>
      <c r="AF65" s="148">
        <f>((Z65*(1-(1+Assumptions!$J$46)^(-1*(G65-Q65))))/Assumptions!$J$46)-((Z65*(1-(1+Assumptions!$J$46)^(-1*(T65))))/Assumptions!$J$46)</f>
        <v>250367.47982739247</v>
      </c>
      <c r="AG65" s="145">
        <v>37134</v>
      </c>
      <c r="AH65" s="148">
        <f>((AI65*(1-(1+Assumptions!$M$40)^(-1*(G65-Q65))))/Assumptions!$M$40)-((AI65*(1-(1+Assumptions!$M$40)^(-1*(T65))))/Assumptions!$M$40)</f>
        <v>270060.53692412371</v>
      </c>
      <c r="AI65" s="409">
        <f>IF(P65&gt;29.999,(VLOOKUP(N65,Assumptions!$B$24:$M$34,12,FALSE)),(VLOOKUP(N65,Assumptions!$B$24:$M$34,12,FALSE)/30*P65))</f>
        <v>36000</v>
      </c>
      <c r="AJ65" s="148">
        <f>((AI65*(1-(1+Assumptions!$L$40)^(-1*(G65-Q65))))/Assumptions!$L$40)-((AI65*(1-(1+Assumptions!$L$40)^(-1*(T65))))/Assumptions!$L$40)</f>
        <v>202553.44092234969</v>
      </c>
      <c r="AK65" s="148">
        <f>((AI65*(1-(1+Assumptions!$L$46)^(-1*(G65-Q65))))/Assumptions!$L$46)-((AI65*(1-(1+Assumptions!$L$46)^(-1*(T65))))/Assumptions!$L$46)</f>
        <v>257520.83639388939</v>
      </c>
      <c r="AL65" s="148">
        <f>IF(Q65&gt;Assumptions!$L$3,W65,0)</f>
        <v>257520.83639388939</v>
      </c>
      <c r="AM65" s="3"/>
      <c r="AN65" s="3"/>
      <c r="AO65" s="114"/>
      <c r="AP65" s="116"/>
      <c r="AQ65" s="114"/>
      <c r="AR65" s="116"/>
    </row>
    <row r="66" spans="1:44" x14ac:dyDescent="0.2">
      <c r="A66" s="3" t="s">
        <v>104</v>
      </c>
      <c r="B66" s="189">
        <f t="shared" si="3"/>
        <v>62</v>
      </c>
      <c r="D66" s="503" t="s">
        <v>394</v>
      </c>
      <c r="F66" s="36" t="s">
        <v>5</v>
      </c>
      <c r="G66" s="5">
        <f>IF(F66="f",Assumptions!$E$39,Assumptions!$E$38)</f>
        <v>89.3</v>
      </c>
      <c r="H66" s="114">
        <v>13065</v>
      </c>
      <c r="I66" s="116">
        <v>25172</v>
      </c>
      <c r="J66" s="22"/>
      <c r="K66" s="22"/>
      <c r="L66" s="91">
        <f>(((H66+(Assumptions!$E$43*365))-I66))/365</f>
        <v>31.830136986301369</v>
      </c>
      <c r="M66" s="240"/>
      <c r="N66" s="125" t="s">
        <v>227</v>
      </c>
      <c r="O66" s="121">
        <f>IF($P66&gt;29.999,(VLOOKUP($N66,Assumptions!$B$24:$J$34,6,FALSE)),(VLOOKUP($N66,Assumptions!$B$24:$J$34,6,FALSE)/30*$P66))</f>
        <v>36000</v>
      </c>
      <c r="P66" s="7">
        <f t="shared" si="4"/>
        <v>32.772602739726025</v>
      </c>
      <c r="Q66" s="39">
        <f t="shared" si="5"/>
        <v>65.942465753424656</v>
      </c>
      <c r="R66" s="23"/>
      <c r="T66" s="81">
        <f>IF(Q66&lt;=Assumptions!$E$43,Assumptions!$E$43-Q66,Assumptions!$E$45)</f>
        <v>3</v>
      </c>
      <c r="U66" s="191">
        <f t="shared" si="6"/>
        <v>32.772602739726025</v>
      </c>
      <c r="V66" s="277">
        <f>((O66*(1-(1+Assumptions!$G$40)^(-1*(G66-Q66))))/Assumptions!$G$40)-((O66*(1-(1+Assumptions!$G$40)^(-1*(T66))))/Assumptions!$G$40)</f>
        <v>255433.04323973978</v>
      </c>
      <c r="W66" s="277">
        <f>((O66*(1-(1+Assumptions!$G$46)^(-1*(G66-Q66))))/Assumptions!$G$46)-((O66*(1-(1+Assumptions!$G$46)^(-1*(T66))))/Assumptions!$G$46)</f>
        <v>347621.08934972505</v>
      </c>
      <c r="X66" s="121">
        <f>IF($P66&gt;29.999,(VLOOKUP($N66,Assumptions!$B$24:$J$34,7,FALSE)),(VLOOKUP($N66,Assumptions!$B$24:$J$34,7,FALSE)/30*$P66))</f>
        <v>28500</v>
      </c>
      <c r="Y66" s="121">
        <f>IF($P66&gt;29.999,(VLOOKUP($N66,Assumptions!$B$24:$J$34,8,FALSE)),(VLOOKUP($N66,Assumptions!$B$24:$J$34,8,FALSE)/30*$P66))</f>
        <v>36000</v>
      </c>
      <c r="Z66" s="121">
        <f>IF($P66&gt;29.999,(VLOOKUP($N66,Assumptions!$B$24:$J$34,9,FALSE)),(VLOOKUP($N66,Assumptions!$B$24:$J$34,9,FALSE)/30*$P66))</f>
        <v>35000</v>
      </c>
      <c r="AA66" s="148">
        <f>((X66*(1-(1+Assumptions!$H$40)^(-1*(G66-Q66))))/Assumptions!$H$40)-((X66*(1-(1+Assumptions!$H$40)^(-1*(T66))))/Assumptions!$H$40)</f>
        <v>202217.82589812734</v>
      </c>
      <c r="AB66" s="148">
        <f>((Y66*(1-(1+Assumptions!$I$40)^(-1*(G66-Q66))))/Assumptions!$I$40)-((Y66*(1-(1+Assumptions!$I$40)^(-1*(T66))))/Assumptions!$I$40)</f>
        <v>255433.04323973978</v>
      </c>
      <c r="AC66" s="148">
        <f>((Z66*(1-(1+Assumptions!$J$40)^(-1*(G66-Q66))))/Assumptions!$J$40)-((Z66*(1-(1+Assumptions!$J$40)^(-1*(T66))))/Assumptions!$J$40)</f>
        <v>248337.68092752481</v>
      </c>
      <c r="AD66" s="148">
        <f>((X66*(1-(1+Assumptions!$H$46)^(-1*(G66-Q66))))/Assumptions!$H$46)-((X66*(1-(1+Assumptions!$H$46)^(-1*(T66))))/Assumptions!$H$46)</f>
        <v>275200.02906853234</v>
      </c>
      <c r="AE66" s="148">
        <f>((Y66*(1-(1+Assumptions!$I$46)^(-1*(G66-Q66))))/Assumptions!$I$46)-((Y66*(1-(1+Assumptions!$I$46)^(-1*(T66))))/Assumptions!$I$46)</f>
        <v>347621.08934972505</v>
      </c>
      <c r="AF66" s="148">
        <f>((Z66*(1-(1+Assumptions!$J$46)^(-1*(G66-Q66))))/Assumptions!$J$46)-((Z66*(1-(1+Assumptions!$J$46)^(-1*(T66))))/Assumptions!$J$46)</f>
        <v>337964.94797889935</v>
      </c>
      <c r="AG66" s="145">
        <v>37134</v>
      </c>
      <c r="AH66" s="148">
        <f>((AI66*(1-(1+Assumptions!$M$40)^(-1*(G66-Q66))))/Assumptions!$M$40)-((AI66*(1-(1+Assumptions!$M$40)^(-1*(T66))))/Assumptions!$M$40)</f>
        <v>369998.2322174671</v>
      </c>
      <c r="AI66" s="409">
        <f>IF(P66&gt;29.999,(VLOOKUP(N66,Assumptions!$B$24:$M$34,12,FALSE)),(VLOOKUP(N66,Assumptions!$B$24:$M$34,12,FALSE)/30*P66))</f>
        <v>36000</v>
      </c>
      <c r="AJ66" s="148">
        <f>((AI66*(1-(1+Assumptions!$L$40)^(-1*(G66-Q66))))/Assumptions!$L$40)-((AI66*(1-(1+Assumptions!$L$40)^(-1*(T66))))/Assumptions!$L$40)</f>
        <v>255433.04323973978</v>
      </c>
      <c r="AK66" s="148">
        <f>((AI66*(1-(1+Assumptions!$L$46)^(-1*(G66-Q66))))/Assumptions!$L$46)-((AI66*(1-(1+Assumptions!$L$46)^(-1*(T66))))/Assumptions!$L$46)</f>
        <v>347621.08934972505</v>
      </c>
      <c r="AL66" s="148">
        <f>IF(Q66&gt;Assumptions!$L$3,W66,0)</f>
        <v>347621.08934972505</v>
      </c>
      <c r="AM66" s="3"/>
      <c r="AN66" s="3"/>
      <c r="AO66" s="114"/>
      <c r="AP66" s="116"/>
      <c r="AQ66" s="114"/>
      <c r="AR66" s="116"/>
    </row>
    <row r="67" spans="1:44" x14ac:dyDescent="0.2">
      <c r="A67" s="3" t="s">
        <v>104</v>
      </c>
      <c r="B67" s="189">
        <f t="shared" si="3"/>
        <v>63</v>
      </c>
      <c r="D67" s="503" t="s">
        <v>395</v>
      </c>
      <c r="F67" s="36" t="s">
        <v>6</v>
      </c>
      <c r="G67" s="5">
        <f>IF(F67="f",Assumptions!$E$39,Assumptions!$E$38)</f>
        <v>81.8</v>
      </c>
      <c r="H67" s="114">
        <v>14556</v>
      </c>
      <c r="I67" s="116">
        <v>24697</v>
      </c>
      <c r="J67" s="22"/>
      <c r="K67" s="22"/>
      <c r="L67" s="91">
        <f>(((H67+(Assumptions!$E$43*365))-I67))/365</f>
        <v>37.216438356164382</v>
      </c>
      <c r="M67" s="240"/>
      <c r="N67" s="125" t="s">
        <v>226</v>
      </c>
      <c r="O67" s="121">
        <f>IF($P67&gt;29.999,(VLOOKUP($N67,Assumptions!$B$24:$J$34,6,FALSE)),(VLOOKUP($N67,Assumptions!$B$24:$J$34,6,FALSE)/30*$P67))</f>
        <v>36000</v>
      </c>
      <c r="P67" s="7">
        <f t="shared" si="4"/>
        <v>34.073972602739723</v>
      </c>
      <c r="Q67" s="39">
        <f t="shared" si="5"/>
        <v>61.857534246575341</v>
      </c>
      <c r="R67" s="23"/>
      <c r="T67" s="81">
        <f>IF(Q67&lt;=Assumptions!$E$43,Assumptions!$E$43-Q67,Assumptions!$E$45)</f>
        <v>3.1424657534246592</v>
      </c>
      <c r="U67" s="191">
        <f t="shared" si="6"/>
        <v>34.073972602739723</v>
      </c>
      <c r="V67" s="277">
        <f>((O67*(1-(1+Assumptions!$G$40)^(-1*(G67-Q67))))/Assumptions!$G$40)-((O67*(1-(1+Assumptions!$G$40)^(-1*(T67))))/Assumptions!$G$40)</f>
        <v>233377.31199091062</v>
      </c>
      <c r="W67" s="277">
        <f>((O67*(1-(1+Assumptions!$G$46)^(-1*(G67-Q67))))/Assumptions!$G$46)-((O67*(1-(1+Assumptions!$G$46)^(-1*(T67))))/Assumptions!$G$46)</f>
        <v>310014.46201853902</v>
      </c>
      <c r="X67" s="121">
        <f>IF($P67&gt;29.999,(VLOOKUP($N67,Assumptions!$B$24:$J$34,7,FALSE)),(VLOOKUP($N67,Assumptions!$B$24:$J$34,7,FALSE)/30*$P67))</f>
        <v>28500</v>
      </c>
      <c r="Y67" s="121">
        <f>IF($P67&gt;29.999,(VLOOKUP($N67,Assumptions!$B$24:$J$34,8,FALSE)),(VLOOKUP($N67,Assumptions!$B$24:$J$34,8,FALSE)/30*$P67))</f>
        <v>36000</v>
      </c>
      <c r="Z67" s="121">
        <f>IF($P67&gt;29.999,(VLOOKUP($N67,Assumptions!$B$24:$J$34,9,FALSE)),(VLOOKUP($N67,Assumptions!$B$24:$J$34,9,FALSE)/30*$P67))</f>
        <v>32000</v>
      </c>
      <c r="AA67" s="148">
        <f>((X67*(1-(1+Assumptions!$H$40)^(-1*(G67-Q67))))/Assumptions!$H$40)-((X67*(1-(1+Assumptions!$H$40)^(-1*(T67))))/Assumptions!$H$40)</f>
        <v>184757.03865947091</v>
      </c>
      <c r="AB67" s="148">
        <f>((Y67*(1-(1+Assumptions!$I$40)^(-1*(G67-Q67))))/Assumptions!$I$40)-((Y67*(1-(1+Assumptions!$I$40)^(-1*(T67))))/Assumptions!$I$40)</f>
        <v>233377.31199091062</v>
      </c>
      <c r="AC67" s="148">
        <f>((Z67*(1-(1+Assumptions!$J$40)^(-1*(G67-Q67))))/Assumptions!$J$40)-((Z67*(1-(1+Assumptions!$J$40)^(-1*(T67))))/Assumptions!$J$40)</f>
        <v>207446.49954747612</v>
      </c>
      <c r="AD67" s="148">
        <f>((X67*(1-(1+Assumptions!$H$46)^(-1*(G67-Q67))))/Assumptions!$H$46)-((X67*(1-(1+Assumptions!$H$46)^(-1*(T67))))/Assumptions!$H$46)</f>
        <v>245428.11576467671</v>
      </c>
      <c r="AE67" s="148">
        <f>((Y67*(1-(1+Assumptions!$I$46)^(-1*(G67-Q67))))/Assumptions!$I$46)-((Y67*(1-(1+Assumptions!$I$46)^(-1*(T67))))/Assumptions!$I$46)</f>
        <v>310014.46201853902</v>
      </c>
      <c r="AF67" s="148">
        <f>((Z67*(1-(1+Assumptions!$J$46)^(-1*(G67-Q67))))/Assumptions!$J$46)-((Z67*(1-(1+Assumptions!$J$46)^(-1*(T67))))/Assumptions!$J$46)</f>
        <v>275568.41068314575</v>
      </c>
      <c r="AG67" s="145">
        <v>37134</v>
      </c>
      <c r="AH67" s="148">
        <f>((AI67*(1-(1+Assumptions!$M$40)^(-1*(G67-Q67))))/Assumptions!$M$40)-((AI67*(1-(1+Assumptions!$M$40)^(-1*(T67))))/Assumptions!$M$40)</f>
        <v>328160.39392660832</v>
      </c>
      <c r="AI67" s="409">
        <f>IF(P67&gt;29.999,(VLOOKUP(N67,Assumptions!$B$24:$M$34,12,FALSE)),(VLOOKUP(N67,Assumptions!$B$24:$M$34,12,FALSE)/30*P67))</f>
        <v>36000</v>
      </c>
      <c r="AJ67" s="148">
        <f>((AI67*(1-(1+Assumptions!$L$40)^(-1*(G67-Q67))))/Assumptions!$L$40)-((AI67*(1-(1+Assumptions!$L$40)^(-1*(T67))))/Assumptions!$L$40)</f>
        <v>233377.31199091062</v>
      </c>
      <c r="AK67" s="148">
        <f>((AI67*(1-(1+Assumptions!$L$46)^(-1*(G67-Q67))))/Assumptions!$L$46)-((AI67*(1-(1+Assumptions!$L$46)^(-1*(T67))))/Assumptions!$L$46)</f>
        <v>310014.46201853902</v>
      </c>
      <c r="AL67" s="148">
        <f>IF(Q67&gt;Assumptions!$L$3,W67,0)</f>
        <v>310014.46201853902</v>
      </c>
      <c r="AM67" s="3"/>
      <c r="AN67" s="3"/>
      <c r="AO67" s="114"/>
      <c r="AP67" s="116"/>
      <c r="AQ67" s="114"/>
      <c r="AR67" s="116"/>
    </row>
    <row r="68" spans="1:44" x14ac:dyDescent="0.2">
      <c r="A68" s="3" t="s">
        <v>104</v>
      </c>
      <c r="B68" s="189">
        <f t="shared" si="3"/>
        <v>64</v>
      </c>
      <c r="D68" s="503" t="s">
        <v>396</v>
      </c>
      <c r="F68" s="36" t="s">
        <v>6</v>
      </c>
      <c r="G68" s="5">
        <f>IF(F68="f",Assumptions!$E$39,Assumptions!$E$38)</f>
        <v>81.8</v>
      </c>
      <c r="H68" s="114">
        <v>17322</v>
      </c>
      <c r="I68" s="116">
        <v>25902</v>
      </c>
      <c r="J68" s="22"/>
      <c r="K68" s="22"/>
      <c r="L68" s="91">
        <f>(((H68+(Assumptions!$E$43*365))-I68))/365</f>
        <v>41.493150684931507</v>
      </c>
      <c r="M68" s="240"/>
      <c r="N68" s="125" t="s">
        <v>224</v>
      </c>
      <c r="O68" s="121">
        <f>IF($P68&gt;29.999,(VLOOKUP($N68,Assumptions!$B$24:$J$34,6,FALSE)),(VLOOKUP($N68,Assumptions!$B$24:$J$34,6,FALSE)/30*$P68))</f>
        <v>36000</v>
      </c>
      <c r="P68" s="7">
        <f t="shared" si="4"/>
        <v>30.772602739726029</v>
      </c>
      <c r="Q68" s="39">
        <f t="shared" si="5"/>
        <v>54.279452054794518</v>
      </c>
      <c r="R68" s="23"/>
      <c r="T68" s="81">
        <f>IF(Q68&lt;=Assumptions!$E$43,Assumptions!$E$43-Q68,Assumptions!$E$45)</f>
        <v>10.720547945205482</v>
      </c>
      <c r="U68" s="191">
        <f t="shared" si="6"/>
        <v>30.772602739726029</v>
      </c>
      <c r="V68" s="277">
        <f>((O68*(1-(1+Assumptions!$G$40)^(-1*(G68-Q68))))/Assumptions!$G$40)-((O68*(1-(1+Assumptions!$G$40)^(-1*(T68))))/Assumptions!$G$40)</f>
        <v>121461.19673837401</v>
      </c>
      <c r="W68" s="277">
        <f>((O68*(1-(1+Assumptions!$G$46)^(-1*(G68-Q68))))/Assumptions!$G$46)-((O68*(1-(1+Assumptions!$G$46)^(-1*(T68))))/Assumptions!$G$46)</f>
        <v>198495.03875454149</v>
      </c>
      <c r="X68" s="121">
        <f>IF($P68&gt;29.999,(VLOOKUP($N68,Assumptions!$B$24:$J$34,7,FALSE)),(VLOOKUP($N68,Assumptions!$B$24:$J$34,7,FALSE)/30*$P68))</f>
        <v>25000</v>
      </c>
      <c r="Y68" s="121">
        <f>IF($P68&gt;29.999,(VLOOKUP($N68,Assumptions!$B$24:$J$34,8,FALSE)),(VLOOKUP($N68,Assumptions!$B$24:$J$34,8,FALSE)/30*$P68))</f>
        <v>32000</v>
      </c>
      <c r="Z68" s="121">
        <f>IF($P68&gt;29.999,(VLOOKUP($N68,Assumptions!$B$24:$J$34,9,FALSE)),(VLOOKUP($N68,Assumptions!$B$24:$J$34,9,FALSE)/30*$P68))</f>
        <v>25000</v>
      </c>
      <c r="AA68" s="148">
        <f>((X68*(1-(1+Assumptions!$H$40)^(-1*(G68-Q68))))/Assumptions!$H$40)-((X68*(1-(1+Assumptions!$H$40)^(-1*(T68))))/Assumptions!$H$40)</f>
        <v>84348.0532905375</v>
      </c>
      <c r="AB68" s="148">
        <f>((Y68*(1-(1+Assumptions!$I$40)^(-1*(G68-Q68))))/Assumptions!$I$40)-((Y68*(1-(1+Assumptions!$I$40)^(-1*(T68))))/Assumptions!$I$40)</f>
        <v>107965.50821188797</v>
      </c>
      <c r="AC68" s="148">
        <f>((Z68*(1-(1+Assumptions!$J$40)^(-1*(G68-Q68))))/Assumptions!$J$40)-((Z68*(1-(1+Assumptions!$J$40)^(-1*(T68))))/Assumptions!$J$40)</f>
        <v>84348.0532905375</v>
      </c>
      <c r="AD68" s="148">
        <f>((X68*(1-(1+Assumptions!$H$46)^(-1*(G68-Q68))))/Assumptions!$H$46)-((X68*(1-(1+Assumptions!$H$46)^(-1*(T68))))/Assumptions!$H$46)</f>
        <v>137843.77691287608</v>
      </c>
      <c r="AE68" s="148">
        <f>((Y68*(1-(1+Assumptions!$I$46)^(-1*(G68-Q68))))/Assumptions!$I$46)-((Y68*(1-(1+Assumptions!$I$46)^(-1*(T68))))/Assumptions!$I$46)</f>
        <v>176440.03444848131</v>
      </c>
      <c r="AF68" s="148">
        <f>((Z68*(1-(1+Assumptions!$J$46)^(-1*(G68-Q68))))/Assumptions!$J$46)-((Z68*(1-(1+Assumptions!$J$46)^(-1*(T68))))/Assumptions!$J$46)</f>
        <v>137843.77691287608</v>
      </c>
      <c r="AG68" s="145">
        <v>37134</v>
      </c>
      <c r="AH68" s="148">
        <f>((AI68*(1-(1+Assumptions!$M$40)^(-1*(G68-Q68))))/Assumptions!$M$40)-((AI68*(1-(1+Assumptions!$M$40)^(-1*(T68))))/Assumptions!$M$40)</f>
        <v>218714.26728532912</v>
      </c>
      <c r="AI68" s="409">
        <f>IF(P68&gt;29.999,(VLOOKUP(N68,Assumptions!$B$24:$M$34,12,FALSE)),(VLOOKUP(N68,Assumptions!$B$24:$M$34,12,FALSE)/30*P68))</f>
        <v>36000</v>
      </c>
      <c r="AJ68" s="148">
        <f>((AI68*(1-(1+Assumptions!$L$40)^(-1*(G68-Q68))))/Assumptions!$L$40)-((AI68*(1-(1+Assumptions!$L$40)^(-1*(T68))))/Assumptions!$L$40)</f>
        <v>121461.19673837401</v>
      </c>
      <c r="AK68" s="148">
        <f>((AI68*(1-(1+Assumptions!$L$46)^(-1*(G68-Q68))))/Assumptions!$L$46)-((AI68*(1-(1+Assumptions!$L$46)^(-1*(T68))))/Assumptions!$L$46)</f>
        <v>198495.03875454149</v>
      </c>
      <c r="AL68" s="148">
        <f>IF(Q68&gt;Assumptions!$L$3,W68,0)</f>
        <v>0</v>
      </c>
      <c r="AM68" s="3"/>
      <c r="AN68" s="3"/>
      <c r="AO68" s="114"/>
      <c r="AP68" s="116"/>
      <c r="AQ68" s="114"/>
      <c r="AR68" s="116"/>
    </row>
    <row r="69" spans="1:44" x14ac:dyDescent="0.2">
      <c r="A69" s="3" t="s">
        <v>104</v>
      </c>
      <c r="B69" s="189">
        <f t="shared" si="3"/>
        <v>65</v>
      </c>
      <c r="D69" s="503" t="s">
        <v>397</v>
      </c>
      <c r="F69" s="36" t="s">
        <v>6</v>
      </c>
      <c r="G69" s="5">
        <f>IF(F69="f",Assumptions!$E$39,Assumptions!$E$38)</f>
        <v>81.8</v>
      </c>
      <c r="H69" s="114">
        <v>14547</v>
      </c>
      <c r="I69" s="116">
        <v>24441</v>
      </c>
      <c r="J69" s="22"/>
      <c r="K69" s="22"/>
      <c r="L69" s="91">
        <f>(((H69+(Assumptions!$E$43*365))-I69))/365</f>
        <v>37.893150684931506</v>
      </c>
      <c r="M69" s="240"/>
      <c r="N69" s="125" t="s">
        <v>226</v>
      </c>
      <c r="O69" s="121">
        <f>IF($P69&gt;29.999,(VLOOKUP($N69,Assumptions!$B$24:$J$34,6,FALSE)),(VLOOKUP($N69,Assumptions!$B$24:$J$34,6,FALSE)/30*$P69))</f>
        <v>36000</v>
      </c>
      <c r="P69" s="7">
        <f t="shared" ref="P69:P86" si="7">(AG69-I69)/365</f>
        <v>34.775342465753425</v>
      </c>
      <c r="Q69" s="39">
        <f t="shared" ref="Q69:Q86" si="8">(AG69-H69)/365</f>
        <v>61.88219178082192</v>
      </c>
      <c r="R69" s="23"/>
      <c r="T69" s="81">
        <f>IF(Q69&lt;=Assumptions!$E$43,Assumptions!$E$43-Q69,Assumptions!$E$45)</f>
        <v>3.1178082191780803</v>
      </c>
      <c r="U69" s="191">
        <f t="shared" ref="U69:U86" si="9">(AG69-I69)/365</f>
        <v>34.775342465753425</v>
      </c>
      <c r="V69" s="277">
        <f>((O69*(1-(1+Assumptions!$G$40)^(-1*(G69-Q69))))/Assumptions!$G$40)-((O69*(1-(1+Assumptions!$G$40)^(-1*(T69))))/Assumptions!$G$40)</f>
        <v>233873.74958558605</v>
      </c>
      <c r="W69" s="277">
        <f>((O69*(1-(1+Assumptions!$G$46)^(-1*(G69-Q69))))/Assumptions!$G$46)-((O69*(1-(1+Assumptions!$G$46)^(-1*(T69))))/Assumptions!$G$46)</f>
        <v>310464.53281405335</v>
      </c>
      <c r="X69" s="121">
        <f>IF($P69&gt;29.999,(VLOOKUP($N69,Assumptions!$B$24:$J$34,7,FALSE)),(VLOOKUP($N69,Assumptions!$B$24:$J$34,7,FALSE)/30*$P69))</f>
        <v>28500</v>
      </c>
      <c r="Y69" s="121">
        <f>IF($P69&gt;29.999,(VLOOKUP($N69,Assumptions!$B$24:$J$34,8,FALSE)),(VLOOKUP($N69,Assumptions!$B$24:$J$34,8,FALSE)/30*$P69))</f>
        <v>36000</v>
      </c>
      <c r="Z69" s="121">
        <f>IF($P69&gt;29.999,(VLOOKUP($N69,Assumptions!$B$24:$J$34,9,FALSE)),(VLOOKUP($N69,Assumptions!$B$24:$J$34,9,FALSE)/30*$P69))</f>
        <v>32000</v>
      </c>
      <c r="AA69" s="148">
        <f>((X69*(1-(1+Assumptions!$H$40)^(-1*(G69-Q69))))/Assumptions!$H$40)-((X69*(1-(1+Assumptions!$H$40)^(-1*(T69))))/Assumptions!$H$40)</f>
        <v>185150.05175525561</v>
      </c>
      <c r="AB69" s="148">
        <f>((Y69*(1-(1+Assumptions!$I$40)^(-1*(G69-Q69))))/Assumptions!$I$40)-((Y69*(1-(1+Assumptions!$I$40)^(-1*(T69))))/Assumptions!$I$40)</f>
        <v>233873.74958558605</v>
      </c>
      <c r="AC69" s="148">
        <f>((Z69*(1-(1+Assumptions!$J$40)^(-1*(G69-Q69))))/Assumptions!$J$40)-((Z69*(1-(1+Assumptions!$J$40)^(-1*(T69))))/Assumptions!$J$40)</f>
        <v>207887.77740940984</v>
      </c>
      <c r="AD69" s="148">
        <f>((X69*(1-(1+Assumptions!$H$46)^(-1*(G69-Q69))))/Assumptions!$H$46)-((X69*(1-(1+Assumptions!$H$46)^(-1*(T69))))/Assumptions!$H$46)</f>
        <v>245784.42181112553</v>
      </c>
      <c r="AE69" s="148">
        <f>((Y69*(1-(1+Assumptions!$I$46)^(-1*(G69-Q69))))/Assumptions!$I$46)-((Y69*(1-(1+Assumptions!$I$46)^(-1*(T69))))/Assumptions!$I$46)</f>
        <v>310464.53281405335</v>
      </c>
      <c r="AF69" s="148">
        <f>((Z69*(1-(1+Assumptions!$J$46)^(-1*(G69-Q69))))/Assumptions!$J$46)-((Z69*(1-(1+Assumptions!$J$46)^(-1*(T69))))/Assumptions!$J$46)</f>
        <v>275968.4736124918</v>
      </c>
      <c r="AG69" s="145">
        <v>37134</v>
      </c>
      <c r="AH69" s="148">
        <f>((AI69*(1-(1+Assumptions!$M$40)^(-1*(G69-Q69))))/Assumptions!$M$40)-((AI69*(1-(1+Assumptions!$M$40)^(-1*(T69))))/Assumptions!$M$40)</f>
        <v>328593.91189508635</v>
      </c>
      <c r="AI69" s="409">
        <f>IF(P69&gt;29.999,(VLOOKUP(N69,Assumptions!$B$24:$M$34,12,FALSE)),(VLOOKUP(N69,Assumptions!$B$24:$M$34,12,FALSE)/30*P69))</f>
        <v>36000</v>
      </c>
      <c r="AJ69" s="148">
        <f>((AI69*(1-(1+Assumptions!$L$40)^(-1*(G69-Q69))))/Assumptions!$L$40)-((AI69*(1-(1+Assumptions!$L$40)^(-1*(T69))))/Assumptions!$L$40)</f>
        <v>233873.74958558605</v>
      </c>
      <c r="AK69" s="148">
        <f>((AI69*(1-(1+Assumptions!$L$46)^(-1*(G69-Q69))))/Assumptions!$L$46)-((AI69*(1-(1+Assumptions!$L$46)^(-1*(T69))))/Assumptions!$L$46)</f>
        <v>310464.53281405335</v>
      </c>
      <c r="AL69" s="148">
        <f>IF(Q69&gt;Assumptions!$L$3,W69,0)</f>
        <v>310464.53281405335</v>
      </c>
      <c r="AM69" s="3"/>
      <c r="AN69" s="3"/>
      <c r="AO69" s="114"/>
      <c r="AP69" s="116"/>
      <c r="AQ69" s="114"/>
      <c r="AR69" s="116"/>
    </row>
    <row r="70" spans="1:44" x14ac:dyDescent="0.2">
      <c r="A70" s="3" t="s">
        <v>104</v>
      </c>
      <c r="B70" s="189">
        <f t="shared" si="3"/>
        <v>66</v>
      </c>
      <c r="D70" s="503" t="s">
        <v>398</v>
      </c>
      <c r="F70" s="36" t="s">
        <v>5</v>
      </c>
      <c r="G70" s="5">
        <f>IF(F70="f",Assumptions!$E$39,Assumptions!$E$38)</f>
        <v>89.3</v>
      </c>
      <c r="H70" s="114">
        <v>16455</v>
      </c>
      <c r="I70" s="116">
        <v>25902</v>
      </c>
      <c r="J70" s="22"/>
      <c r="K70" s="22"/>
      <c r="L70" s="91">
        <f>(((H70+(Assumptions!$E$43*365))-I70))/365</f>
        <v>39.11780821917808</v>
      </c>
      <c r="M70" s="240"/>
      <c r="N70" s="125" t="s">
        <v>225</v>
      </c>
      <c r="O70" s="121">
        <f>IF($P70&gt;29.999,(VLOOKUP($N70,Assumptions!$B$24:$J$34,6,FALSE)),(VLOOKUP($N70,Assumptions!$B$24:$J$34,6,FALSE)/30*$P70))</f>
        <v>36000</v>
      </c>
      <c r="P70" s="7">
        <f t="shared" si="7"/>
        <v>30.772602739726029</v>
      </c>
      <c r="Q70" s="39">
        <f t="shared" si="8"/>
        <v>56.654794520547945</v>
      </c>
      <c r="R70" s="23"/>
      <c r="T70" s="81">
        <f>IF(Q70&lt;=Assumptions!$E$43,Assumptions!$E$43-Q70,Assumptions!$E$45)</f>
        <v>8.3452054794520549</v>
      </c>
      <c r="U70" s="191">
        <f t="shared" si="9"/>
        <v>30.772602739726029</v>
      </c>
      <c r="V70" s="277">
        <f>((O70*(1-(1+Assumptions!$G$40)^(-1*(G70-Q70))))/Assumptions!$G$40)-((O70*(1-(1+Assumptions!$G$40)^(-1*(T70))))/Assumptions!$G$40)</f>
        <v>170859.52669094398</v>
      </c>
      <c r="W70" s="277">
        <f>((O70*(1-(1+Assumptions!$G$46)^(-1*(G70-Q70))))/Assumptions!$G$46)-((O70*(1-(1+Assumptions!$G$46)^(-1*(T70))))/Assumptions!$G$46)</f>
        <v>276542.35080492636</v>
      </c>
      <c r="X70" s="121">
        <f>IF($P70&gt;29.999,(VLOOKUP($N70,Assumptions!$B$24:$J$34,7,FALSE)),(VLOOKUP($N70,Assumptions!$B$24:$J$34,7,FALSE)/30*$P70))</f>
        <v>28500</v>
      </c>
      <c r="Y70" s="121">
        <f>IF($P70&gt;29.999,(VLOOKUP($N70,Assumptions!$B$24:$J$34,8,FALSE)),(VLOOKUP($N70,Assumptions!$B$24:$J$34,8,FALSE)/30*$P70))</f>
        <v>36000</v>
      </c>
      <c r="Z70" s="121">
        <f>IF($P70&gt;29.999,(VLOOKUP($N70,Assumptions!$B$24:$J$34,9,FALSE)),(VLOOKUP($N70,Assumptions!$B$24:$J$34,9,FALSE)/30*$P70))</f>
        <v>28000</v>
      </c>
      <c r="AA70" s="148">
        <f>((X70*(1-(1+Assumptions!$H$40)^(-1*(G70-Q70))))/Assumptions!$H$40)-((X70*(1-(1+Assumptions!$H$40)^(-1*(T70))))/Assumptions!$H$40)</f>
        <v>135263.79196366403</v>
      </c>
      <c r="AB70" s="148">
        <f>((Y70*(1-(1+Assumptions!$I$40)^(-1*(G70-Q70))))/Assumptions!$I$40)-((Y70*(1-(1+Assumptions!$I$40)^(-1*(T70))))/Assumptions!$I$40)</f>
        <v>170859.52669094398</v>
      </c>
      <c r="AC70" s="148">
        <f>((Z70*(1-(1+Assumptions!$J$40)^(-1*(G70-Q70))))/Assumptions!$J$40)-((Z70*(1-(1+Assumptions!$J$40)^(-1*(T70))))/Assumptions!$J$40)</f>
        <v>132890.74298184537</v>
      </c>
      <c r="AD70" s="148">
        <f>((X70*(1-(1+Assumptions!$H$46)^(-1*(G70-Q70))))/Assumptions!$H$46)-((X70*(1-(1+Assumptions!$H$46)^(-1*(T70))))/Assumptions!$H$46)</f>
        <v>218929.36105390007</v>
      </c>
      <c r="AE70" s="148">
        <f>((Y70*(1-(1+Assumptions!$I$46)^(-1*(G70-Q70))))/Assumptions!$I$46)-((Y70*(1-(1+Assumptions!$I$46)^(-1*(T70))))/Assumptions!$I$46)</f>
        <v>276542.35080492636</v>
      </c>
      <c r="AF70" s="148">
        <f>((Z70*(1-(1+Assumptions!$J$46)^(-1*(G70-Q70))))/Assumptions!$J$46)-((Z70*(1-(1+Assumptions!$J$46)^(-1*(T70))))/Assumptions!$J$46)</f>
        <v>215088.49507049829</v>
      </c>
      <c r="AG70" s="145">
        <v>37134</v>
      </c>
      <c r="AH70" s="148">
        <f>((AI70*(1-(1+Assumptions!$M$40)^(-1*(G70-Q70))))/Assumptions!$M$40)-((AI70*(1-(1+Assumptions!$M$40)^(-1*(T70))))/Assumptions!$M$40)</f>
        <v>304702.81467361678</v>
      </c>
      <c r="AI70" s="409">
        <f>IF(P70&gt;29.999,(VLOOKUP(N70,Assumptions!$B$24:$M$34,12,FALSE)),(VLOOKUP(N70,Assumptions!$B$24:$M$34,12,FALSE)/30*P70))</f>
        <v>36000</v>
      </c>
      <c r="AJ70" s="148">
        <f>((AI70*(1-(1+Assumptions!$L$40)^(-1*(G70-Q70))))/Assumptions!$L$40)-((AI70*(1-(1+Assumptions!$L$40)^(-1*(T70))))/Assumptions!$L$40)</f>
        <v>170859.52669094398</v>
      </c>
      <c r="AK70" s="148">
        <f>((AI70*(1-(1+Assumptions!$L$46)^(-1*(G70-Q70))))/Assumptions!$L$46)-((AI70*(1-(1+Assumptions!$L$46)^(-1*(T70))))/Assumptions!$L$46)</f>
        <v>276542.35080492636</v>
      </c>
      <c r="AL70" s="148">
        <f>IF(Q70&gt;Assumptions!$L$3,W70,0)</f>
        <v>276542.35080492636</v>
      </c>
      <c r="AM70" s="3"/>
      <c r="AN70" s="3"/>
      <c r="AO70" s="114"/>
      <c r="AP70" s="116"/>
      <c r="AQ70" s="114"/>
      <c r="AR70" s="116"/>
    </row>
    <row r="71" spans="1:44" x14ac:dyDescent="0.2">
      <c r="A71" s="3" t="s">
        <v>104</v>
      </c>
      <c r="B71" s="189">
        <f t="shared" ref="B71:B86" si="10">SUM(B70+1)</f>
        <v>67</v>
      </c>
      <c r="D71" s="503" t="s">
        <v>399</v>
      </c>
      <c r="F71" s="36" t="s">
        <v>5</v>
      </c>
      <c r="G71" s="5">
        <f>IF(F71="f",Assumptions!$E$39,Assumptions!$E$38)</f>
        <v>89.3</v>
      </c>
      <c r="H71" s="114">
        <v>25108</v>
      </c>
      <c r="I71" s="116">
        <v>36134</v>
      </c>
      <c r="J71" s="22"/>
      <c r="K71" s="22"/>
      <c r="L71" s="91">
        <f>(((H71+(Assumptions!$E$43*365))-I71))/365</f>
        <v>34.791780821917811</v>
      </c>
      <c r="M71" s="240"/>
      <c r="N71" s="125" t="s">
        <v>221</v>
      </c>
      <c r="O71" s="121">
        <f>IF($P71&gt;29.999,(VLOOKUP($N71,Assumptions!$B$24:$J$34,6,FALSE)),(VLOOKUP($N71,Assumptions!$B$24:$J$34,6,FALSE)/30*$P71))</f>
        <v>3287.6712328767121</v>
      </c>
      <c r="P71" s="7">
        <f t="shared" si="7"/>
        <v>2.7397260273972601</v>
      </c>
      <c r="Q71" s="39">
        <f t="shared" si="8"/>
        <v>32.947945205479449</v>
      </c>
      <c r="R71" s="23"/>
      <c r="T71" s="81">
        <f>IF(Q71&lt;=Assumptions!$E$43,Assumptions!$E$43-Q71,Assumptions!$E$45)</f>
        <v>32.052054794520551</v>
      </c>
      <c r="U71" s="191">
        <f t="shared" si="9"/>
        <v>2.7397260273972601</v>
      </c>
      <c r="V71" s="277">
        <f>((O71*(1-(1+Assumptions!$G$40)^(-1*(G71-Q71))))/Assumptions!$G$40)-((O71*(1-(1+Assumptions!$G$40)^(-1*(T71))))/Assumptions!$G$40)</f>
        <v>2022.8362731138986</v>
      </c>
      <c r="W71" s="277">
        <f>((O71*(1-(1+Assumptions!$G$46)^(-1*(G71-Q71))))/Assumptions!$G$46)-((O71*(1-(1+Assumptions!$G$46)^(-1*(T71))))/Assumptions!$G$46)</f>
        <v>6260.3564279884667</v>
      </c>
      <c r="X71" s="121">
        <f>IF($P71&gt;29.999,(VLOOKUP($N71,Assumptions!$B$24:$J$34,7,FALSE)),(VLOOKUP($N71,Assumptions!$B$24:$J$34,7,FALSE)/30*$P71))</f>
        <v>273.97260273972603</v>
      </c>
      <c r="Y71" s="121">
        <f>IF($P71&gt;29.999,(VLOOKUP($N71,Assumptions!$B$24:$J$34,8,FALSE)),(VLOOKUP($N71,Assumptions!$B$24:$J$34,8,FALSE)/30*$P71))</f>
        <v>365.29680365296804</v>
      </c>
      <c r="Z71" s="121">
        <f>IF($P71&gt;29.999,(VLOOKUP($N71,Assumptions!$B$24:$J$34,9,FALSE)),(VLOOKUP($N71,Assumptions!$B$24:$J$34,9,FALSE)/30*$P71))</f>
        <v>273.97260273972603</v>
      </c>
      <c r="AA71" s="148">
        <f>((X71*(1-(1+Assumptions!$H$40)^(-1*(G71-Q71))))/Assumptions!$H$40)-((X71*(1-(1+Assumptions!$H$40)^(-1*(T71))))/Assumptions!$H$40)</f>
        <v>168.56968942615731</v>
      </c>
      <c r="AB71" s="148">
        <f>((Y71*(1-(1+Assumptions!$I$40)^(-1*(G71-Q71))))/Assumptions!$I$40)-((Y71*(1-(1+Assumptions!$I$40)^(-1*(T71))))/Assumptions!$I$40)</f>
        <v>224.75958590154369</v>
      </c>
      <c r="AC71" s="148">
        <f>((Z71*(1-(1+Assumptions!$J$40)^(-1*(G71-Q71))))/Assumptions!$J$40)-((Z71*(1-(1+Assumptions!$J$40)^(-1*(T71))))/Assumptions!$J$40)</f>
        <v>168.56968942615731</v>
      </c>
      <c r="AD71" s="148">
        <f>((X71*(1-(1+Assumptions!$H$46)^(-1*(G71-Q71))))/Assumptions!$H$46)-((X71*(1-(1+Assumptions!$H$46)^(-1*(T71))))/Assumptions!$H$46)</f>
        <v>521.69636899903935</v>
      </c>
      <c r="AE71" s="148">
        <f>((Y71*(1-(1+Assumptions!$I$46)^(-1*(G71-Q71))))/Assumptions!$I$46)-((Y71*(1-(1+Assumptions!$I$46)^(-1*(T71))))/Assumptions!$I$46)</f>
        <v>695.59515866538459</v>
      </c>
      <c r="AF71" s="148">
        <f>((Z71*(1-(1+Assumptions!$J$46)^(-1*(G71-Q71))))/Assumptions!$J$46)-((Z71*(1-(1+Assumptions!$J$46)^(-1*(T71))))/Assumptions!$J$46)</f>
        <v>521.69636899903935</v>
      </c>
      <c r="AG71" s="145">
        <v>37134</v>
      </c>
      <c r="AH71" s="148">
        <f>((AI71*(1-(1+Assumptions!$M$40)^(-1*(G71-Q71))))/Assumptions!$M$40)-((AI71*(1-(1+Assumptions!$M$40)^(-1*(T71))))/Assumptions!$M$40)</f>
        <v>7820.2347511450425</v>
      </c>
      <c r="AI71" s="409">
        <f>IF(P71&gt;29.999,(VLOOKUP(N71,Assumptions!$B$24:$M$34,12,FALSE)),(VLOOKUP(N71,Assumptions!$B$24:$M$34,12,FALSE)/30*P71))</f>
        <v>3287.6712328767121</v>
      </c>
      <c r="AJ71" s="148">
        <f>((AI71*(1-(1+Assumptions!$L$40)^(-1*(G71-Q71))))/Assumptions!$L$40)-((AI71*(1-(1+Assumptions!$L$40)^(-1*(T71))))/Assumptions!$L$40)</f>
        <v>2022.8362731138986</v>
      </c>
      <c r="AK71" s="148">
        <f>((AI71*(1-(1+Assumptions!$L$46)^(-1*(G71-Q71))))/Assumptions!$L$46)-((AI71*(1-(1+Assumptions!$L$46)^(-1*(T71))))/Assumptions!$L$46)</f>
        <v>6260.3564279884667</v>
      </c>
      <c r="AL71" s="148">
        <f>IF(Q71&gt;Assumptions!$L$3,W71,0)</f>
        <v>0</v>
      </c>
      <c r="AM71" s="3"/>
      <c r="AN71" s="3"/>
      <c r="AO71" s="114"/>
      <c r="AP71" s="116"/>
      <c r="AQ71" s="114"/>
      <c r="AR71" s="116"/>
    </row>
    <row r="72" spans="1:44" x14ac:dyDescent="0.2">
      <c r="A72" s="3" t="s">
        <v>104</v>
      </c>
      <c r="B72" s="189">
        <f t="shared" si="10"/>
        <v>68</v>
      </c>
      <c r="D72" s="503" t="s">
        <v>400</v>
      </c>
      <c r="F72" s="36" t="s">
        <v>5</v>
      </c>
      <c r="G72" s="5">
        <f>IF(F72="f",Assumptions!$E$39,Assumptions!$E$38)</f>
        <v>89.3</v>
      </c>
      <c r="H72" s="114">
        <v>25798</v>
      </c>
      <c r="I72" s="116">
        <v>36134</v>
      </c>
      <c r="J72" s="22"/>
      <c r="K72" s="22"/>
      <c r="L72" s="91">
        <f>(((H72+(Assumptions!$E$43*365))-I72))/365</f>
        <v>36.682191780821917</v>
      </c>
      <c r="M72" s="240"/>
      <c r="N72" s="125" t="s">
        <v>221</v>
      </c>
      <c r="O72" s="121">
        <f>IF($P72&gt;29.999,(VLOOKUP($N72,Assumptions!$B$24:$J$34,6,FALSE)),(VLOOKUP($N72,Assumptions!$B$24:$J$34,6,FALSE)/30*$P72))</f>
        <v>3287.6712328767121</v>
      </c>
      <c r="P72" s="7">
        <f t="shared" si="7"/>
        <v>2.7397260273972601</v>
      </c>
      <c r="Q72" s="39">
        <f t="shared" si="8"/>
        <v>31.057534246575344</v>
      </c>
      <c r="R72" s="23"/>
      <c r="T72" s="81">
        <f>IF(Q72&lt;=Assumptions!$E$43,Assumptions!$E$43-Q72,Assumptions!$E$45)</f>
        <v>33.942465753424656</v>
      </c>
      <c r="U72" s="191">
        <f t="shared" si="9"/>
        <v>2.7397260273972601</v>
      </c>
      <c r="V72" s="277">
        <f>((O72*(1-(1+Assumptions!$G$40)^(-1*(G72-Q72))))/Assumptions!$G$40)-((O72*(1-(1+Assumptions!$G$40)^(-1*(T72))))/Assumptions!$G$40)</f>
        <v>1718.7363847586021</v>
      </c>
      <c r="W72" s="277">
        <f>((O72*(1-(1+Assumptions!$G$46)^(-1*(G72-Q72))))/Assumptions!$G$46)-((O72*(1-(1+Assumptions!$G$46)^(-1*(T72))))/Assumptions!$G$46)</f>
        <v>5601.3923299052985</v>
      </c>
      <c r="X72" s="121">
        <f>IF($P72&gt;29.999,(VLOOKUP($N72,Assumptions!$B$24:$J$34,7,FALSE)),(VLOOKUP($N72,Assumptions!$B$24:$J$34,7,FALSE)/30*$P72))</f>
        <v>273.97260273972603</v>
      </c>
      <c r="Y72" s="121">
        <f>IF($P72&gt;29.999,(VLOOKUP($N72,Assumptions!$B$24:$J$34,8,FALSE)),(VLOOKUP($N72,Assumptions!$B$24:$J$34,8,FALSE)/30*$P72))</f>
        <v>365.29680365296804</v>
      </c>
      <c r="Z72" s="121">
        <f>IF($P72&gt;29.999,(VLOOKUP($N72,Assumptions!$B$24:$J$34,9,FALSE)),(VLOOKUP($N72,Assumptions!$B$24:$J$34,9,FALSE)/30*$P72))</f>
        <v>273.97260273972603</v>
      </c>
      <c r="AA72" s="148">
        <f>((X72*(1-(1+Assumptions!$H$40)^(-1*(G72-Q72))))/Assumptions!$H$40)-((X72*(1-(1+Assumptions!$H$40)^(-1*(T72))))/Assumptions!$H$40)</f>
        <v>143.2280320632176</v>
      </c>
      <c r="AB72" s="148">
        <f>((Y72*(1-(1+Assumptions!$I$40)^(-1*(G72-Q72))))/Assumptions!$I$40)-((Y72*(1-(1+Assumptions!$I$40)^(-1*(T72))))/Assumptions!$I$40)</f>
        <v>190.97070941762286</v>
      </c>
      <c r="AC72" s="148">
        <f>((Z72*(1-(1+Assumptions!$J$40)^(-1*(G72-Q72))))/Assumptions!$J$40)-((Z72*(1-(1+Assumptions!$J$40)^(-1*(T72))))/Assumptions!$J$40)</f>
        <v>143.2280320632176</v>
      </c>
      <c r="AD72" s="148">
        <f>((X72*(1-(1+Assumptions!$H$46)^(-1*(G72-Q72))))/Assumptions!$H$46)-((X72*(1-(1+Assumptions!$H$46)^(-1*(T72))))/Assumptions!$H$46)</f>
        <v>466.78269415877503</v>
      </c>
      <c r="AE72" s="148">
        <f>((Y72*(1-(1+Assumptions!$I$46)^(-1*(G72-Q72))))/Assumptions!$I$46)-((Y72*(1-(1+Assumptions!$I$46)^(-1*(T72))))/Assumptions!$I$46)</f>
        <v>622.37692554503428</v>
      </c>
      <c r="AF72" s="148">
        <f>((Z72*(1-(1+Assumptions!$J$46)^(-1*(G72-Q72))))/Assumptions!$J$46)-((Z72*(1-(1+Assumptions!$J$46)^(-1*(T72))))/Assumptions!$J$46)</f>
        <v>466.78269415877503</v>
      </c>
      <c r="AG72" s="145">
        <v>37134</v>
      </c>
      <c r="AH72" s="148">
        <f>((AI72*(1-(1+Assumptions!$M$40)^(-1*(G72-Q72))))/Assumptions!$M$40)-((AI72*(1-(1+Assumptions!$M$40)^(-1*(T72))))/Assumptions!$M$40)</f>
        <v>7067.4555476862806</v>
      </c>
      <c r="AI72" s="409">
        <f>IF(P72&gt;29.999,(VLOOKUP(N72,Assumptions!$B$24:$M$34,12,FALSE)),(VLOOKUP(N72,Assumptions!$B$24:$M$34,12,FALSE)/30*P72))</f>
        <v>3287.6712328767121</v>
      </c>
      <c r="AJ72" s="148">
        <f>((AI72*(1-(1+Assumptions!$L$40)^(-1*(G72-Q72))))/Assumptions!$L$40)-((AI72*(1-(1+Assumptions!$L$40)^(-1*(T72))))/Assumptions!$L$40)</f>
        <v>1718.7363847586021</v>
      </c>
      <c r="AK72" s="148">
        <f>((AI72*(1-(1+Assumptions!$L$46)^(-1*(G72-Q72))))/Assumptions!$L$46)-((AI72*(1-(1+Assumptions!$L$46)^(-1*(T72))))/Assumptions!$L$46)</f>
        <v>5601.3923299052985</v>
      </c>
      <c r="AL72" s="148">
        <f>IF(Q72&gt;Assumptions!$L$3,W72,0)</f>
        <v>0</v>
      </c>
      <c r="AM72" s="3"/>
      <c r="AN72" s="3"/>
      <c r="AO72" s="114"/>
      <c r="AP72" s="116"/>
      <c r="AQ72" s="114"/>
      <c r="AR72" s="116"/>
    </row>
    <row r="73" spans="1:44" x14ac:dyDescent="0.2">
      <c r="A73" s="3" t="s">
        <v>104</v>
      </c>
      <c r="B73" s="189">
        <f t="shared" si="10"/>
        <v>69</v>
      </c>
      <c r="D73" s="503" t="s">
        <v>401</v>
      </c>
      <c r="F73" s="36" t="s">
        <v>6</v>
      </c>
      <c r="G73" s="5">
        <f>IF(F73="f",Assumptions!$E$39,Assumptions!$E$38)</f>
        <v>81.8</v>
      </c>
      <c r="H73" s="114">
        <v>15748</v>
      </c>
      <c r="I73" s="116">
        <v>25172</v>
      </c>
      <c r="J73" s="22"/>
      <c r="K73" s="22"/>
      <c r="L73" s="91">
        <f>(((H73+(Assumptions!$E$43*365))-I73))/365</f>
        <v>39.180821917808217</v>
      </c>
      <c r="M73" s="240"/>
      <c r="N73" s="125" t="s">
        <v>225</v>
      </c>
      <c r="O73" s="121">
        <f>IF($P73&gt;29.999,(VLOOKUP($N73,Assumptions!$B$24:$J$34,6,FALSE)),(VLOOKUP($N73,Assumptions!$B$24:$J$34,6,FALSE)/30*$P73))</f>
        <v>36000</v>
      </c>
      <c r="P73" s="7">
        <f t="shared" si="7"/>
        <v>32.772602739726025</v>
      </c>
      <c r="Q73" s="39">
        <f t="shared" si="8"/>
        <v>58.591780821917808</v>
      </c>
      <c r="R73" s="23"/>
      <c r="T73" s="81">
        <f>IF(Q73&lt;=Assumptions!$E$43,Assumptions!$E$43-Q73,Assumptions!$E$45)</f>
        <v>6.4082191780821915</v>
      </c>
      <c r="U73" s="191">
        <f t="shared" si="9"/>
        <v>32.772602739726025</v>
      </c>
      <c r="V73" s="277">
        <f>((O73*(1-(1+Assumptions!$G$40)^(-1*(G73-Q73))))/Assumptions!$G$40)-((O73*(1-(1+Assumptions!$G$40)^(-1*(T73))))/Assumptions!$G$40)</f>
        <v>176129.83147954941</v>
      </c>
      <c r="W73" s="277">
        <f>((O73*(1-(1+Assumptions!$G$46)^(-1*(G73-Q73))))/Assumptions!$G$46)-((O73*(1-(1+Assumptions!$G$46)^(-1*(T73))))/Assumptions!$G$46)</f>
        <v>255821.27217952252</v>
      </c>
      <c r="X73" s="121">
        <f>IF($P73&gt;29.999,(VLOOKUP($N73,Assumptions!$B$24:$J$34,7,FALSE)),(VLOOKUP($N73,Assumptions!$B$24:$J$34,7,FALSE)/30*$P73))</f>
        <v>28500</v>
      </c>
      <c r="Y73" s="121">
        <f>IF($P73&gt;29.999,(VLOOKUP($N73,Assumptions!$B$24:$J$34,8,FALSE)),(VLOOKUP($N73,Assumptions!$B$24:$J$34,8,FALSE)/30*$P73))</f>
        <v>36000</v>
      </c>
      <c r="Z73" s="121">
        <f>IF($P73&gt;29.999,(VLOOKUP($N73,Assumptions!$B$24:$J$34,9,FALSE)),(VLOOKUP($N73,Assumptions!$B$24:$J$34,9,FALSE)/30*$P73))</f>
        <v>28000</v>
      </c>
      <c r="AA73" s="148">
        <f>((X73*(1-(1+Assumptions!$H$40)^(-1*(G73-Q73))))/Assumptions!$H$40)-((X73*(1-(1+Assumptions!$H$40)^(-1*(T73))))/Assumptions!$H$40)</f>
        <v>139436.1165879766</v>
      </c>
      <c r="AB73" s="148">
        <f>((Y73*(1-(1+Assumptions!$I$40)^(-1*(G73-Q73))))/Assumptions!$I$40)-((Y73*(1-(1+Assumptions!$I$40)^(-1*(T73))))/Assumptions!$I$40)</f>
        <v>176129.83147954941</v>
      </c>
      <c r="AC73" s="148">
        <f>((Z73*(1-(1+Assumptions!$J$40)^(-1*(G73-Q73))))/Assumptions!$J$40)-((Z73*(1-(1+Assumptions!$J$40)^(-1*(T73))))/Assumptions!$J$40)</f>
        <v>136989.86892853846</v>
      </c>
      <c r="AD73" s="148">
        <f>((X73*(1-(1+Assumptions!$H$46)^(-1*(G73-Q73))))/Assumptions!$H$46)-((X73*(1-(1+Assumptions!$H$46)^(-1*(T73))))/Assumptions!$H$46)</f>
        <v>202525.17380878868</v>
      </c>
      <c r="AE73" s="148">
        <f>((Y73*(1-(1+Assumptions!$I$46)^(-1*(G73-Q73))))/Assumptions!$I$46)-((Y73*(1-(1+Assumptions!$I$46)^(-1*(T73))))/Assumptions!$I$46)</f>
        <v>255821.27217952252</v>
      </c>
      <c r="AF73" s="148">
        <f>((Z73*(1-(1+Assumptions!$J$46)^(-1*(G73-Q73))))/Assumptions!$J$46)-((Z73*(1-(1+Assumptions!$J$46)^(-1*(T73))))/Assumptions!$J$46)</f>
        <v>198972.10058407302</v>
      </c>
      <c r="AG73" s="145">
        <v>37134</v>
      </c>
      <c r="AH73" s="148">
        <f>((AI73*(1-(1+Assumptions!$M$40)^(-1*(G73-Q73))))/Assumptions!$M$40)-((AI73*(1-(1+Assumptions!$M$40)^(-1*(T73))))/Assumptions!$M$40)</f>
        <v>275517.6114007819</v>
      </c>
      <c r="AI73" s="409">
        <f>IF(P73&gt;29.999,(VLOOKUP(N73,Assumptions!$B$24:$M$34,12,FALSE)),(VLOOKUP(N73,Assumptions!$B$24:$M$34,12,FALSE)/30*P73))</f>
        <v>36000</v>
      </c>
      <c r="AJ73" s="148">
        <f>((AI73*(1-(1+Assumptions!$L$40)^(-1*(G73-Q73))))/Assumptions!$L$40)-((AI73*(1-(1+Assumptions!$L$40)^(-1*(T73))))/Assumptions!$L$40)</f>
        <v>176129.83147954941</v>
      </c>
      <c r="AK73" s="148">
        <f>((AI73*(1-(1+Assumptions!$L$46)^(-1*(G73-Q73))))/Assumptions!$L$46)-((AI73*(1-(1+Assumptions!$L$46)^(-1*(T73))))/Assumptions!$L$46)</f>
        <v>255821.27217952252</v>
      </c>
      <c r="AL73" s="148">
        <f>IF(Q73&gt;Assumptions!$L$3,W73,0)</f>
        <v>255821.27217952252</v>
      </c>
      <c r="AM73" s="3"/>
      <c r="AN73" s="3"/>
      <c r="AO73" s="114"/>
      <c r="AP73" s="116"/>
      <c r="AQ73" s="114"/>
      <c r="AR73" s="116"/>
    </row>
    <row r="74" spans="1:44" x14ac:dyDescent="0.2">
      <c r="A74" s="3" t="s">
        <v>104</v>
      </c>
      <c r="B74" s="189">
        <f t="shared" si="10"/>
        <v>70</v>
      </c>
      <c r="D74" s="503" t="s">
        <v>402</v>
      </c>
      <c r="F74" s="36" t="s">
        <v>6</v>
      </c>
      <c r="G74" s="5">
        <f>IF(F74="f",Assumptions!$E$39,Assumptions!$E$38)</f>
        <v>81.8</v>
      </c>
      <c r="H74" s="114">
        <v>19335</v>
      </c>
      <c r="I74" s="116">
        <v>32110</v>
      </c>
      <c r="J74" s="22"/>
      <c r="K74" s="22"/>
      <c r="L74" s="91">
        <f>(((H74+(Assumptions!$E$43*365))-I74))/365</f>
        <v>30</v>
      </c>
      <c r="M74" s="240"/>
      <c r="N74" s="125" t="s">
        <v>223</v>
      </c>
      <c r="O74" s="121">
        <f>IF($P74&gt;29.999,(VLOOKUP($N74,Assumptions!$B$24:$J$34,6,FALSE)),(VLOOKUP($N74,Assumptions!$B$24:$J$34,6,FALSE)/30*$P74))</f>
        <v>16517.260273972603</v>
      </c>
      <c r="P74" s="7">
        <f t="shared" si="7"/>
        <v>13.764383561643836</v>
      </c>
      <c r="Q74" s="39">
        <f t="shared" si="8"/>
        <v>48.764383561643832</v>
      </c>
      <c r="R74" s="23"/>
      <c r="T74" s="81">
        <f>IF(Q74&lt;=Assumptions!$E$43,Assumptions!$E$43-Q74,Assumptions!$E$45)</f>
        <v>16.235616438356168</v>
      </c>
      <c r="U74" s="191">
        <f t="shared" si="9"/>
        <v>13.764383561643836</v>
      </c>
      <c r="V74" s="277">
        <f>((O74*(1-(1+Assumptions!$G$40)^(-1*(G74-Q74))))/Assumptions!$G$40)-((O74*(1-(1+Assumptions!$G$40)^(-1*(T74))))/Assumptions!$G$40)</f>
        <v>34646.819043148134</v>
      </c>
      <c r="W74" s="277">
        <f>((O74*(1-(1+Assumptions!$G$46)^(-1*(G74-Q74))))/Assumptions!$G$46)-((O74*(1-(1+Assumptions!$G$46)^(-1*(T74))))/Assumptions!$G$46)</f>
        <v>65836.421669475298</v>
      </c>
      <c r="X74" s="121">
        <f>IF($P74&gt;29.999,(VLOOKUP($N74,Assumptions!$B$24:$J$34,7,FALSE)),(VLOOKUP($N74,Assumptions!$B$24:$J$34,7,FALSE)/30*$P74))</f>
        <v>7799.8173515981734</v>
      </c>
      <c r="Y74" s="121">
        <f>IF($P74&gt;29.999,(VLOOKUP($N74,Assumptions!$B$24:$J$34,8,FALSE)),(VLOOKUP($N74,Assumptions!$B$24:$J$34,8,FALSE)/30*$P74))</f>
        <v>9635.0684931506858</v>
      </c>
      <c r="Z74" s="121">
        <f>IF($P74&gt;29.999,(VLOOKUP($N74,Assumptions!$B$24:$J$34,9,FALSE)),(VLOOKUP($N74,Assumptions!$B$24:$J$34,9,FALSE)/30*$P74))</f>
        <v>7799.8173515981734</v>
      </c>
      <c r="AA74" s="148">
        <f>((X74*(1-(1+Assumptions!$H$40)^(-1*(G74-Q74))))/Assumptions!$H$40)-((X74*(1-(1+Assumptions!$H$40)^(-1*(T74))))/Assumptions!$H$40)</f>
        <v>16360.997881486604</v>
      </c>
      <c r="AB74" s="148">
        <f>((Y74*(1-(1+Assumptions!$I$40)^(-1*(G74-Q74))))/Assumptions!$I$40)-((Y74*(1-(1+Assumptions!$I$40)^(-1*(T74))))/Assumptions!$I$40)</f>
        <v>20210.644441836426</v>
      </c>
      <c r="AC74" s="148">
        <f>((Z74*(1-(1+Assumptions!$J$40)^(-1*(G74-Q74))))/Assumptions!$J$40)-((Z74*(1-(1+Assumptions!$J$40)^(-1*(T74))))/Assumptions!$J$40)</f>
        <v>16360.997881486604</v>
      </c>
      <c r="AD74" s="148">
        <f>((X74*(1-(1+Assumptions!$H$46)^(-1*(G74-Q74))))/Assumptions!$H$46)-((X74*(1-(1+Assumptions!$H$46)^(-1*(T74))))/Assumptions!$H$46)</f>
        <v>31089.421343918904</v>
      </c>
      <c r="AE74" s="148">
        <f>((Y74*(1-(1+Assumptions!$I$46)^(-1*(G74-Q74))))/Assumptions!$I$46)-((Y74*(1-(1+Assumptions!$I$46)^(-1*(T74))))/Assumptions!$I$46)</f>
        <v>38404.579307193941</v>
      </c>
      <c r="AF74" s="148">
        <f>((Z74*(1-(1+Assumptions!$J$46)^(-1*(G74-Q74))))/Assumptions!$J$46)-((Z74*(1-(1+Assumptions!$J$46)^(-1*(T74))))/Assumptions!$J$46)</f>
        <v>31089.421343918904</v>
      </c>
      <c r="AG74" s="145">
        <v>37134</v>
      </c>
      <c r="AH74" s="148">
        <f>((AI74*(1-(1+Assumptions!$M$40)^(-1*(G74-Q74))))/Assumptions!$M$40)-((AI74*(1-(1+Assumptions!$M$40)^(-1*(T74))))/Assumptions!$M$40)</f>
        <v>74691.936295564257</v>
      </c>
      <c r="AI74" s="409">
        <f>IF(P74&gt;29.999,(VLOOKUP(N74,Assumptions!$B$24:$M$34,12,FALSE)),(VLOOKUP(N74,Assumptions!$B$24:$M$34,12,FALSE)/30*P74))</f>
        <v>16517.260273972603</v>
      </c>
      <c r="AJ74" s="148">
        <f>((AI74*(1-(1+Assumptions!$L$40)^(-1*(G74-Q74))))/Assumptions!$L$40)-((AI74*(1-(1+Assumptions!$L$40)^(-1*(T74))))/Assumptions!$L$40)</f>
        <v>34646.819043148134</v>
      </c>
      <c r="AK74" s="148">
        <f>((AI74*(1-(1+Assumptions!$L$46)^(-1*(G74-Q74))))/Assumptions!$L$46)-((AI74*(1-(1+Assumptions!$L$46)^(-1*(T74))))/Assumptions!$L$46)</f>
        <v>65836.421669475298</v>
      </c>
      <c r="AL74" s="148">
        <f>IF(Q74&gt;Assumptions!$L$3,W74,0)</f>
        <v>0</v>
      </c>
      <c r="AM74" s="3"/>
      <c r="AN74" s="3"/>
      <c r="AO74" s="114"/>
      <c r="AP74" s="116"/>
      <c r="AQ74" s="114"/>
      <c r="AR74" s="116"/>
    </row>
    <row r="75" spans="1:44" x14ac:dyDescent="0.2">
      <c r="A75" s="3" t="s">
        <v>104</v>
      </c>
      <c r="B75" s="189">
        <f t="shared" si="10"/>
        <v>71</v>
      </c>
      <c r="D75" s="503" t="s">
        <v>403</v>
      </c>
      <c r="F75" s="36" t="s">
        <v>6</v>
      </c>
      <c r="G75" s="5">
        <f>IF(F75="f",Assumptions!$E$39,Assumptions!$E$38)</f>
        <v>81.8</v>
      </c>
      <c r="H75" s="114">
        <v>18993</v>
      </c>
      <c r="I75" s="116">
        <v>31746</v>
      </c>
      <c r="J75" s="22"/>
      <c r="K75" s="22"/>
      <c r="L75" s="91">
        <f>(((H75+(Assumptions!$E$43*365))-I75))/365</f>
        <v>30.06027397260274</v>
      </c>
      <c r="M75" s="240"/>
      <c r="N75" s="125" t="s">
        <v>224</v>
      </c>
      <c r="O75" s="121">
        <f>IF($P75&gt;29.999,(VLOOKUP($N75,Assumptions!$B$24:$J$34,6,FALSE)),(VLOOKUP($N75,Assumptions!$B$24:$J$34,6,FALSE)/30*$P75))</f>
        <v>17713.972602739726</v>
      </c>
      <c r="P75" s="7">
        <f t="shared" si="7"/>
        <v>14.761643835616438</v>
      </c>
      <c r="Q75" s="39">
        <f t="shared" si="8"/>
        <v>49.701369863013696</v>
      </c>
      <c r="R75" s="23"/>
      <c r="T75" s="81">
        <f>IF(Q75&lt;=Assumptions!$E$43,Assumptions!$E$43-Q75,Assumptions!$E$45)</f>
        <v>15.298630136986304</v>
      </c>
      <c r="U75" s="191">
        <f t="shared" si="9"/>
        <v>14.761643835616438</v>
      </c>
      <c r="V75" s="277">
        <f>((O75*(1-(1+Assumptions!$G$40)^(-1*(G75-Q75))))/Assumptions!$G$40)-((O75*(1-(1+Assumptions!$G$40)^(-1*(T75))))/Assumptions!$G$40)</f>
        <v>40281.85297532953</v>
      </c>
      <c r="W75" s="277">
        <f>((O75*(1-(1+Assumptions!$G$46)^(-1*(G75-Q75))))/Assumptions!$G$46)-((O75*(1-(1+Assumptions!$G$46)^(-1*(T75))))/Assumptions!$G$46)</f>
        <v>74608.051001194952</v>
      </c>
      <c r="X75" s="121">
        <f>IF($P75&gt;29.999,(VLOOKUP($N75,Assumptions!$B$24:$J$34,7,FALSE)),(VLOOKUP($N75,Assumptions!$B$24:$J$34,7,FALSE)/30*$P75))</f>
        <v>12301.369863013699</v>
      </c>
      <c r="Y75" s="121">
        <f>IF($P75&gt;29.999,(VLOOKUP($N75,Assumptions!$B$24:$J$34,8,FALSE)),(VLOOKUP($N75,Assumptions!$B$24:$J$34,8,FALSE)/30*$P75))</f>
        <v>15745.753424657534</v>
      </c>
      <c r="Z75" s="121">
        <f>IF($P75&gt;29.999,(VLOOKUP($N75,Assumptions!$B$24:$J$34,9,FALSE)),(VLOOKUP($N75,Assumptions!$B$24:$J$34,9,FALSE)/30*$P75))</f>
        <v>12301.369863013699</v>
      </c>
      <c r="AA75" s="148">
        <f>((X75*(1-(1+Assumptions!$H$40)^(-1*(G75-Q75))))/Assumptions!$H$40)-((X75*(1-(1+Assumptions!$H$40)^(-1*(T75))))/Assumptions!$H$40)</f>
        <v>27973.509010645488</v>
      </c>
      <c r="AB75" s="148">
        <f>((Y75*(1-(1+Assumptions!$I$40)^(-1*(G75-Q75))))/Assumptions!$I$40)-((Y75*(1-(1+Assumptions!$I$40)^(-1*(T75))))/Assumptions!$I$40)</f>
        <v>35806.091533626226</v>
      </c>
      <c r="AC75" s="148">
        <f>((Z75*(1-(1+Assumptions!$J$40)^(-1*(G75-Q75))))/Assumptions!$J$40)-((Z75*(1-(1+Assumptions!$J$40)^(-1*(T75))))/Assumptions!$J$40)</f>
        <v>27973.509010645488</v>
      </c>
      <c r="AD75" s="148">
        <f>((X75*(1-(1+Assumptions!$H$46)^(-1*(G75-Q75))))/Assumptions!$H$46)-((X75*(1-(1+Assumptions!$H$46)^(-1*(T75))))/Assumptions!$H$46)</f>
        <v>51811.146528607627</v>
      </c>
      <c r="AE75" s="148">
        <f>((Y75*(1-(1+Assumptions!$I$46)^(-1*(G75-Q75))))/Assumptions!$I$46)-((Y75*(1-(1+Assumptions!$I$46)^(-1*(T75))))/Assumptions!$I$46)</f>
        <v>66318.267556617735</v>
      </c>
      <c r="AF75" s="148">
        <f>((Z75*(1-(1+Assumptions!$J$46)^(-1*(G75-Q75))))/Assumptions!$J$46)-((Z75*(1-(1+Assumptions!$J$46)^(-1*(T75))))/Assumptions!$J$46)</f>
        <v>51811.146528607627</v>
      </c>
      <c r="AG75" s="145">
        <v>37134</v>
      </c>
      <c r="AH75" s="148">
        <f>((AI75*(1-(1+Assumptions!$M$40)^(-1*(G75-Q75))))/Assumptions!$M$40)-((AI75*(1-(1+Assumptions!$M$40)^(-1*(T75))))/Assumptions!$M$40)</f>
        <v>84224.590981436981</v>
      </c>
      <c r="AI75" s="409">
        <f>IF(P75&gt;29.999,(VLOOKUP(N75,Assumptions!$B$24:$M$34,12,FALSE)),(VLOOKUP(N75,Assumptions!$B$24:$M$34,12,FALSE)/30*P75))</f>
        <v>17713.972602739726</v>
      </c>
      <c r="AJ75" s="148">
        <f>((AI75*(1-(1+Assumptions!$L$40)^(-1*(G75-Q75))))/Assumptions!$L$40)-((AI75*(1-(1+Assumptions!$L$40)^(-1*(T75))))/Assumptions!$L$40)</f>
        <v>40281.85297532953</v>
      </c>
      <c r="AK75" s="148">
        <f>((AI75*(1-(1+Assumptions!$L$46)^(-1*(G75-Q75))))/Assumptions!$L$46)-((AI75*(1-(1+Assumptions!$L$46)^(-1*(T75))))/Assumptions!$L$46)</f>
        <v>74608.051001194952</v>
      </c>
      <c r="AL75" s="148">
        <f>IF(Q75&gt;Assumptions!$L$3,W75,0)</f>
        <v>0</v>
      </c>
      <c r="AM75" s="3"/>
      <c r="AN75" s="3"/>
      <c r="AO75" s="114"/>
      <c r="AP75" s="116"/>
      <c r="AQ75" s="114"/>
      <c r="AR75" s="116"/>
    </row>
    <row r="76" spans="1:44" x14ac:dyDescent="0.2">
      <c r="A76" s="3" t="s">
        <v>104</v>
      </c>
      <c r="B76" s="189">
        <f t="shared" si="10"/>
        <v>72</v>
      </c>
      <c r="D76" s="503" t="s">
        <v>404</v>
      </c>
      <c r="E76" s="256"/>
      <c r="F76" s="36" t="s">
        <v>5</v>
      </c>
      <c r="G76" s="5">
        <f>IF(F76="f",Assumptions!$E$39,Assumptions!$E$38)</f>
        <v>89.3</v>
      </c>
      <c r="H76" s="114">
        <v>16403</v>
      </c>
      <c r="I76" s="116">
        <v>27363</v>
      </c>
      <c r="J76" s="22"/>
      <c r="K76" s="22"/>
      <c r="L76" s="91">
        <f>(((H76+(Assumptions!$E$43*365))-I76))/365</f>
        <v>34.972602739726028</v>
      </c>
      <c r="M76" s="240"/>
      <c r="N76" s="125" t="s">
        <v>225</v>
      </c>
      <c r="O76" s="121">
        <f>IF($P76&gt;29.999,(VLOOKUP($N76,Assumptions!$B$24:$J$34,6,FALSE)),(VLOOKUP($N76,Assumptions!$B$24:$J$34,6,FALSE)/30*$P76))</f>
        <v>32123.835616438355</v>
      </c>
      <c r="P76" s="7">
        <f t="shared" si="7"/>
        <v>26.769863013698629</v>
      </c>
      <c r="Q76" s="39">
        <f t="shared" si="8"/>
        <v>56.797260273972604</v>
      </c>
      <c r="R76" s="23"/>
      <c r="T76" s="81">
        <f>IF(Q76&lt;=Assumptions!$E$43,Assumptions!$E$43-Q76,Assumptions!$E$45)</f>
        <v>8.2027397260273958</v>
      </c>
      <c r="U76" s="191">
        <f t="shared" si="9"/>
        <v>26.769863013698629</v>
      </c>
      <c r="V76" s="277">
        <f>((O76*(1-(1+Assumptions!$G$40)^(-1*(G76-Q76))))/Assumptions!$G$40)-((O76*(1-(1+Assumptions!$G$40)^(-1*(T76))))/Assumptions!$G$40)</f>
        <v>154346.25176957401</v>
      </c>
      <c r="W76" s="277">
        <f>((O76*(1-(1+Assumptions!$G$46)^(-1*(G76-Q76))))/Assumptions!$G$46)-((O76*(1-(1+Assumptions!$G$46)^(-1*(T76))))/Assumptions!$G$46)</f>
        <v>248843.77190293462</v>
      </c>
      <c r="X76" s="121">
        <f>IF($P76&gt;29.999,(VLOOKUP($N76,Assumptions!$B$24:$J$34,7,FALSE)),(VLOOKUP($N76,Assumptions!$B$24:$J$34,7,FALSE)/30*$P76))</f>
        <v>25431.369863013697</v>
      </c>
      <c r="Y76" s="121">
        <f>IF($P76&gt;29.999,(VLOOKUP($N76,Assumptions!$B$24:$J$34,8,FALSE)),(VLOOKUP($N76,Assumptions!$B$24:$J$34,8,FALSE)/30*$P76))</f>
        <v>32123.835616438355</v>
      </c>
      <c r="Z76" s="121">
        <f>IF($P76&gt;29.999,(VLOOKUP($N76,Assumptions!$B$24:$J$34,9,FALSE)),(VLOOKUP($N76,Assumptions!$B$24:$J$34,9,FALSE)/30*$P76))</f>
        <v>24985.205479452055</v>
      </c>
      <c r="AA76" s="148">
        <f>((X76*(1-(1+Assumptions!$H$40)^(-1*(G76-Q76))))/Assumptions!$H$40)-((X76*(1-(1+Assumptions!$H$40)^(-1*(T76))))/Assumptions!$H$40)</f>
        <v>122190.78265091279</v>
      </c>
      <c r="AB76" s="148">
        <f>((Y76*(1-(1+Assumptions!$I$40)^(-1*(G76-Q76))))/Assumptions!$I$40)-((Y76*(1-(1+Assumptions!$I$40)^(-1*(T76))))/Assumptions!$I$40)</f>
        <v>154346.25176957401</v>
      </c>
      <c r="AC76" s="148">
        <f>((Z76*(1-(1+Assumptions!$J$40)^(-1*(G76-Q76))))/Assumptions!$J$40)-((Z76*(1-(1+Assumptions!$J$40)^(-1*(T76))))/Assumptions!$J$40)</f>
        <v>120047.08470966871</v>
      </c>
      <c r="AD76" s="148">
        <f>((X76*(1-(1+Assumptions!$H$46)^(-1*(G76-Q76))))/Assumptions!$H$46)-((X76*(1-(1+Assumptions!$H$46)^(-1*(T76))))/Assumptions!$H$46)</f>
        <v>197001.31942315659</v>
      </c>
      <c r="AE76" s="148">
        <f>((Y76*(1-(1+Assumptions!$I$46)^(-1*(G76-Q76))))/Assumptions!$I$46)-((Y76*(1-(1+Assumptions!$I$46)^(-1*(T76))))/Assumptions!$I$46)</f>
        <v>248843.77190293462</v>
      </c>
      <c r="AF76" s="148">
        <f>((Z76*(1-(1+Assumptions!$J$46)^(-1*(G76-Q76))))/Assumptions!$J$46)-((Z76*(1-(1+Assumptions!$J$46)^(-1*(T76))))/Assumptions!$J$46)</f>
        <v>193545.15592450477</v>
      </c>
      <c r="AG76" s="145">
        <v>37134</v>
      </c>
      <c r="AH76" s="148">
        <f>((AI76*(1-(1+Assumptions!$M$40)^(-1*(G76-Q76))))/Assumptions!$M$40)-((AI76*(1-(1+Assumptions!$M$40)^(-1*(T76))))/Assumptions!$M$40)</f>
        <v>273976.95797556709</v>
      </c>
      <c r="AI76" s="409">
        <f>IF(P76&gt;29.999,(VLOOKUP(N76,Assumptions!$B$24:$M$34,12,FALSE)),(VLOOKUP(N76,Assumptions!$B$24:$M$34,12,FALSE)/30*P76))</f>
        <v>32123.835616438355</v>
      </c>
      <c r="AJ76" s="148">
        <f>((AI76*(1-(1+Assumptions!$L$40)^(-1*(G76-Q76))))/Assumptions!$L$40)-((AI76*(1-(1+Assumptions!$L$40)^(-1*(T76))))/Assumptions!$L$40)</f>
        <v>154346.25176957401</v>
      </c>
      <c r="AK76" s="148">
        <f>((AI76*(1-(1+Assumptions!$L$46)^(-1*(G76-Q76))))/Assumptions!$L$46)-((AI76*(1-(1+Assumptions!$L$46)^(-1*(T76))))/Assumptions!$L$46)</f>
        <v>248843.77190293462</v>
      </c>
      <c r="AL76" s="148">
        <f>IF(Q76&gt;Assumptions!$L$3,W76,0)</f>
        <v>248843.77190293462</v>
      </c>
      <c r="AM76" s="3"/>
      <c r="AN76" s="3"/>
      <c r="AO76" s="114"/>
      <c r="AP76" s="116"/>
      <c r="AQ76" s="114"/>
      <c r="AR76" s="116"/>
    </row>
    <row r="77" spans="1:44" x14ac:dyDescent="0.2">
      <c r="A77" s="3" t="s">
        <v>104</v>
      </c>
      <c r="B77" s="189">
        <f t="shared" si="10"/>
        <v>73</v>
      </c>
      <c r="D77" s="503" t="s">
        <v>405</v>
      </c>
      <c r="F77" s="36" t="s">
        <v>5</v>
      </c>
      <c r="G77" s="5">
        <f>IF(F77="f",Assumptions!$E$39,Assumptions!$E$38)</f>
        <v>89.3</v>
      </c>
      <c r="H77" s="114">
        <v>17229</v>
      </c>
      <c r="I77" s="116">
        <v>25902</v>
      </c>
      <c r="J77" s="22"/>
      <c r="K77" s="22"/>
      <c r="L77" s="91">
        <f>(((H77+(Assumptions!$E$43*365))-I77))/365</f>
        <v>41.238356164383561</v>
      </c>
      <c r="M77" s="240"/>
      <c r="N77" s="125" t="s">
        <v>224</v>
      </c>
      <c r="O77" s="121">
        <f>IF($P77&gt;29.999,(VLOOKUP($N77,Assumptions!$B$24:$J$34,6,FALSE)),(VLOOKUP($N77,Assumptions!$B$24:$J$34,6,FALSE)/30*$P77))</f>
        <v>36000</v>
      </c>
      <c r="P77" s="7">
        <f t="shared" si="7"/>
        <v>30.772602739726029</v>
      </c>
      <c r="Q77" s="39">
        <f t="shared" si="8"/>
        <v>54.534246575342465</v>
      </c>
      <c r="R77" s="23"/>
      <c r="T77" s="81">
        <f>IF(Q77&lt;=Assumptions!$E$43,Assumptions!$E$43-Q77,Assumptions!$E$45)</f>
        <v>10.465753424657535</v>
      </c>
      <c r="U77" s="191">
        <f t="shared" si="9"/>
        <v>30.772602739726029</v>
      </c>
      <c r="V77" s="277">
        <f>((O77*(1-(1+Assumptions!$G$40)^(-1*(G77-Q77))))/Assumptions!$G$40)-((O77*(1-(1+Assumptions!$G$40)^(-1*(T77))))/Assumptions!$G$40)</f>
        <v>142322.81191779239</v>
      </c>
      <c r="W77" s="277">
        <f>((O77*(1-(1+Assumptions!$G$46)^(-1*(G77-Q77))))/Assumptions!$G$46)-((O77*(1-(1+Assumptions!$G$46)^(-1*(T77))))/Assumptions!$G$46)</f>
        <v>244105.86221380648</v>
      </c>
      <c r="X77" s="121">
        <f>IF($P77&gt;29.999,(VLOOKUP($N77,Assumptions!$B$24:$J$34,7,FALSE)),(VLOOKUP($N77,Assumptions!$B$24:$J$34,7,FALSE)/30*$P77))</f>
        <v>25000</v>
      </c>
      <c r="Y77" s="121">
        <f>IF($P77&gt;29.999,(VLOOKUP($N77,Assumptions!$B$24:$J$34,8,FALSE)),(VLOOKUP($N77,Assumptions!$B$24:$J$34,8,FALSE)/30*$P77))</f>
        <v>32000</v>
      </c>
      <c r="Z77" s="121">
        <f>IF($P77&gt;29.999,(VLOOKUP($N77,Assumptions!$B$24:$J$34,9,FALSE)),(VLOOKUP($N77,Assumptions!$B$24:$J$34,9,FALSE)/30*$P77))</f>
        <v>25000</v>
      </c>
      <c r="AA77" s="148">
        <f>((X77*(1-(1+Assumptions!$H$40)^(-1*(G77-Q77))))/Assumptions!$H$40)-((X77*(1-(1+Assumptions!$H$40)^(-1*(T77))))/Assumptions!$H$40)</f>
        <v>98835.286054022552</v>
      </c>
      <c r="AB77" s="148">
        <f>((Y77*(1-(1+Assumptions!$I$40)^(-1*(G77-Q77))))/Assumptions!$I$40)-((Y77*(1-(1+Assumptions!$I$40)^(-1*(T77))))/Assumptions!$I$40)</f>
        <v>126509.16614914883</v>
      </c>
      <c r="AC77" s="148">
        <f>((Z77*(1-(1+Assumptions!$J$40)^(-1*(G77-Q77))))/Assumptions!$J$40)-((Z77*(1-(1+Assumptions!$J$40)^(-1*(T77))))/Assumptions!$J$40)</f>
        <v>98835.286054022552</v>
      </c>
      <c r="AD77" s="148">
        <f>((X77*(1-(1+Assumptions!$H$46)^(-1*(G77-Q77))))/Assumptions!$H$46)-((X77*(1-(1+Assumptions!$H$46)^(-1*(T77))))/Assumptions!$H$46)</f>
        <v>169517.95987069895</v>
      </c>
      <c r="AE77" s="148">
        <f>((Y77*(1-(1+Assumptions!$I$46)^(-1*(G77-Q77))))/Assumptions!$I$46)-((Y77*(1-(1+Assumptions!$I$46)^(-1*(T77))))/Assumptions!$I$46)</f>
        <v>216982.98863449469</v>
      </c>
      <c r="AF77" s="148">
        <f>((Z77*(1-(1+Assumptions!$J$46)^(-1*(G77-Q77))))/Assumptions!$J$46)-((Z77*(1-(1+Assumptions!$J$46)^(-1*(T77))))/Assumptions!$J$46)</f>
        <v>169517.95987069895</v>
      </c>
      <c r="AG77" s="145">
        <v>37134</v>
      </c>
      <c r="AH77" s="148">
        <f>((AI77*(1-(1+Assumptions!$M$40)^(-1*(G77-Q77))))/Assumptions!$M$40)-((AI77*(1-(1+Assumptions!$M$40)^(-1*(T77))))/Assumptions!$M$40)</f>
        <v>271999.75353634701</v>
      </c>
      <c r="AI77" s="409">
        <f>IF(P77&gt;29.999,(VLOOKUP(N77,Assumptions!$B$24:$M$34,12,FALSE)),(VLOOKUP(N77,Assumptions!$B$24:$M$34,12,FALSE)/30*P77))</f>
        <v>36000</v>
      </c>
      <c r="AJ77" s="148">
        <f>((AI77*(1-(1+Assumptions!$L$40)^(-1*(G77-Q77))))/Assumptions!$L$40)-((AI77*(1-(1+Assumptions!$L$40)^(-1*(T77))))/Assumptions!$L$40)</f>
        <v>142322.81191779239</v>
      </c>
      <c r="AK77" s="148">
        <f>((AI77*(1-(1+Assumptions!$L$46)^(-1*(G77-Q77))))/Assumptions!$L$46)-((AI77*(1-(1+Assumptions!$L$46)^(-1*(T77))))/Assumptions!$L$46)</f>
        <v>244105.86221380648</v>
      </c>
      <c r="AL77" s="148">
        <f>IF(Q77&gt;Assumptions!$L$3,W77,0)</f>
        <v>0</v>
      </c>
      <c r="AM77" s="3"/>
      <c r="AN77" s="3"/>
      <c r="AO77" s="114"/>
      <c r="AP77" s="116"/>
      <c r="AQ77" s="114"/>
      <c r="AR77" s="116"/>
    </row>
    <row r="78" spans="1:44" x14ac:dyDescent="0.2">
      <c r="A78" s="3" t="s">
        <v>104</v>
      </c>
      <c r="B78" s="189">
        <f t="shared" si="10"/>
        <v>74</v>
      </c>
      <c r="D78" s="503" t="s">
        <v>406</v>
      </c>
      <c r="F78" s="36" t="s">
        <v>5</v>
      </c>
      <c r="G78" s="5">
        <f>IF(F78="f",Assumptions!$E$39,Assumptions!$E$38)</f>
        <v>89.3</v>
      </c>
      <c r="H78" s="114">
        <v>26415</v>
      </c>
      <c r="I78" s="116">
        <v>36499</v>
      </c>
      <c r="J78" s="22"/>
      <c r="K78" s="22"/>
      <c r="L78" s="91">
        <f>(((H78+(Assumptions!$E$43*365))-I78))/365</f>
        <v>37.372602739726027</v>
      </c>
      <c r="M78" s="240"/>
      <c r="N78" s="125" t="s">
        <v>220</v>
      </c>
      <c r="O78" s="121">
        <f>IF($P78&gt;29.999,(VLOOKUP($N78,Assumptions!$B$24:$J$34,6,FALSE)),(VLOOKUP($N78,Assumptions!$B$24:$J$34,6,FALSE)/30*$P78))</f>
        <v>2087.6712328767126</v>
      </c>
      <c r="P78" s="7">
        <f t="shared" si="7"/>
        <v>1.7397260273972603</v>
      </c>
      <c r="Q78" s="39">
        <f t="shared" si="8"/>
        <v>29.367123287671234</v>
      </c>
      <c r="R78" s="23"/>
      <c r="T78" s="81">
        <f>IF(Q78&lt;=Assumptions!$E$43,Assumptions!$E$43-Q78,Assumptions!$E$45)</f>
        <v>35.632876712328766</v>
      </c>
      <c r="U78" s="191">
        <f t="shared" si="9"/>
        <v>1.7397260273972603</v>
      </c>
      <c r="V78" s="277">
        <f>((O78*(1-(1+Assumptions!$G$40)^(-1*(G78-Q78))))/Assumptions!$G$40)-((O78*(1-(1+Assumptions!$G$40)^(-1*(T78))))/Assumptions!$G$40)</f>
        <v>943.44553591306249</v>
      </c>
      <c r="W78" s="277">
        <f>((O78*(1-(1+Assumptions!$G$46)^(-1*(G78-Q78))))/Assumptions!$G$46)-((O78*(1-(1+Assumptions!$G$46)^(-1*(T78))))/Assumptions!$G$46)</f>
        <v>3220.156466772467</v>
      </c>
      <c r="X78" s="121">
        <f>IF($P78&gt;29.999,(VLOOKUP($N78,Assumptions!$B$24:$J$34,7,FALSE)),(VLOOKUP($N78,Assumptions!$B$24:$J$34,7,FALSE)/30*$P78))</f>
        <v>115.98173515981736</v>
      </c>
      <c r="Y78" s="121">
        <f>IF($P78&gt;29.999,(VLOOKUP($N78,Assumptions!$B$24:$J$34,8,FALSE)),(VLOOKUP($N78,Assumptions!$B$24:$J$34,8,FALSE)/30*$P78))</f>
        <v>173.97260273972603</v>
      </c>
      <c r="Z78" s="121">
        <f>IF($P78&gt;29.999,(VLOOKUP($N78,Assumptions!$B$24:$J$34,9,FALSE)),(VLOOKUP($N78,Assumptions!$B$24:$J$34,9,FALSE)/30*$P78))</f>
        <v>115.98173515981736</v>
      </c>
      <c r="AA78" s="148">
        <f>((X78*(1-(1+Assumptions!$H$40)^(-1*(G78-Q78))))/Assumptions!$H$40)-((X78*(1-(1+Assumptions!$H$40)^(-1*(T78))))/Assumptions!$H$40)</f>
        <v>52.413640884059078</v>
      </c>
      <c r="AB78" s="148">
        <f>((Y78*(1-(1+Assumptions!$I$40)^(-1*(G78-Q78))))/Assumptions!$I$40)-((Y78*(1-(1+Assumptions!$I$40)^(-1*(T78))))/Assumptions!$I$40)</f>
        <v>78.620461326088844</v>
      </c>
      <c r="AC78" s="148">
        <f>((Z78*(1-(1+Assumptions!$J$40)^(-1*(G78-Q78))))/Assumptions!$J$40)-((Z78*(1-(1+Assumptions!$J$40)^(-1*(T78))))/Assumptions!$J$40)</f>
        <v>52.413640884059078</v>
      </c>
      <c r="AD78" s="148">
        <f>((X78*(1-(1+Assumptions!$H$46)^(-1*(G78-Q78))))/Assumptions!$H$46)-((X78*(1-(1+Assumptions!$H$46)^(-1*(T78))))/Assumptions!$H$46)</f>
        <v>178.89758148735928</v>
      </c>
      <c r="AE78" s="148">
        <f>((Y78*(1-(1+Assumptions!$I$46)^(-1*(G78-Q78))))/Assumptions!$I$46)-((Y78*(1-(1+Assumptions!$I$46)^(-1*(T78))))/Assumptions!$I$46)</f>
        <v>268.34637223103937</v>
      </c>
      <c r="AF78" s="148">
        <f>((Z78*(1-(1+Assumptions!$J$46)^(-1*(G78-Q78))))/Assumptions!$J$46)-((Z78*(1-(1+Assumptions!$J$46)^(-1*(T78))))/Assumptions!$J$46)</f>
        <v>178.89758148735928</v>
      </c>
      <c r="AG78" s="145">
        <v>37134</v>
      </c>
      <c r="AH78" s="148">
        <f>((AI78*(1-(1+Assumptions!$M$40)^(-1*(G78-Q78))))/Assumptions!$M$40)-((AI78*(1-(1+Assumptions!$M$40)^(-1*(T78))))/Assumptions!$M$40)</f>
        <v>4099.4972393114112</v>
      </c>
      <c r="AI78" s="409">
        <f>IF(P78&gt;29.999,(VLOOKUP(N78,Assumptions!$B$24:$M$34,12,FALSE)),(VLOOKUP(N78,Assumptions!$B$24:$M$34,12,FALSE)/30*P78))</f>
        <v>2087.6712328767126</v>
      </c>
      <c r="AJ78" s="148">
        <f>((AI78*(1-(1+Assumptions!$L$40)^(-1*(G78-Q78))))/Assumptions!$L$40)-((AI78*(1-(1+Assumptions!$L$40)^(-1*(T78))))/Assumptions!$L$40)</f>
        <v>943.44553591306249</v>
      </c>
      <c r="AK78" s="148">
        <f>((AI78*(1-(1+Assumptions!$L$46)^(-1*(G78-Q78))))/Assumptions!$L$46)-((AI78*(1-(1+Assumptions!$L$46)^(-1*(T78))))/Assumptions!$L$46)</f>
        <v>3220.156466772467</v>
      </c>
      <c r="AL78" s="148">
        <f>IF(Q78&gt;Assumptions!$L$3,W78,0)</f>
        <v>0</v>
      </c>
      <c r="AM78" s="3"/>
      <c r="AN78" s="3"/>
      <c r="AO78" s="114"/>
      <c r="AP78" s="116"/>
      <c r="AQ78" s="114"/>
      <c r="AR78" s="116"/>
    </row>
    <row r="79" spans="1:44" x14ac:dyDescent="0.2">
      <c r="A79" s="3" t="s">
        <v>104</v>
      </c>
      <c r="B79" s="189">
        <f t="shared" si="10"/>
        <v>75</v>
      </c>
      <c r="D79" s="503" t="s">
        <v>407</v>
      </c>
      <c r="F79" s="36" t="s">
        <v>5</v>
      </c>
      <c r="G79" s="5">
        <f>IF(F79="f",Assumptions!$E$39,Assumptions!$E$38)</f>
        <v>89.3</v>
      </c>
      <c r="H79" s="114">
        <v>27338</v>
      </c>
      <c r="I79" s="116">
        <v>36499</v>
      </c>
      <c r="J79" s="22"/>
      <c r="K79" s="22"/>
      <c r="L79" s="91">
        <f>(((H79+(Assumptions!$E$43*365))-I79))/365</f>
        <v>39.901369863013699</v>
      </c>
      <c r="M79" s="240"/>
      <c r="N79" s="125" t="s">
        <v>220</v>
      </c>
      <c r="O79" s="121">
        <f>IF($P79&gt;29.999,(VLOOKUP($N79,Assumptions!$B$24:$J$34,6,FALSE)),(VLOOKUP($N79,Assumptions!$B$24:$J$34,6,FALSE)/30*$P79))</f>
        <v>2087.6712328767126</v>
      </c>
      <c r="P79" s="7">
        <f t="shared" si="7"/>
        <v>1.7397260273972603</v>
      </c>
      <c r="Q79" s="39">
        <f t="shared" si="8"/>
        <v>26.838356164383562</v>
      </c>
      <c r="R79" s="23"/>
      <c r="T79" s="81">
        <f>IF(Q79&lt;=Assumptions!$E$43,Assumptions!$E$43-Q79,Assumptions!$E$45)</f>
        <v>38.161643835616438</v>
      </c>
      <c r="U79" s="191">
        <f t="shared" si="9"/>
        <v>1.7397260273972603</v>
      </c>
      <c r="V79" s="277">
        <f>((O79*(1-(1+Assumptions!$G$40)^(-1*(G79-Q79))))/Assumptions!$G$40)-((O79*(1-(1+Assumptions!$G$40)^(-1*(T79))))/Assumptions!$G$40)</f>
        <v>758.70672985135025</v>
      </c>
      <c r="W79" s="277">
        <f>((O79*(1-(1+Assumptions!$G$46)^(-1*(G79-Q79))))/Assumptions!$G$46)-((O79*(1-(1+Assumptions!$G$46)^(-1*(T79))))/Assumptions!$G$46)</f>
        <v>2774.9992549293929</v>
      </c>
      <c r="X79" s="121">
        <f>IF($P79&gt;29.999,(VLOOKUP($N79,Assumptions!$B$24:$J$34,7,FALSE)),(VLOOKUP($N79,Assumptions!$B$24:$J$34,7,FALSE)/30*$P79))</f>
        <v>115.98173515981736</v>
      </c>
      <c r="Y79" s="121">
        <f>IF($P79&gt;29.999,(VLOOKUP($N79,Assumptions!$B$24:$J$34,8,FALSE)),(VLOOKUP($N79,Assumptions!$B$24:$J$34,8,FALSE)/30*$P79))</f>
        <v>173.97260273972603</v>
      </c>
      <c r="Z79" s="121">
        <f>IF($P79&gt;29.999,(VLOOKUP($N79,Assumptions!$B$24:$J$34,9,FALSE)),(VLOOKUP($N79,Assumptions!$B$24:$J$34,9,FALSE)/30*$P79))</f>
        <v>115.98173515981736</v>
      </c>
      <c r="AA79" s="148">
        <f>((X79*(1-(1+Assumptions!$H$40)^(-1*(G79-Q79))))/Assumptions!$H$40)-((X79*(1-(1+Assumptions!$H$40)^(-1*(T79))))/Assumptions!$H$40)</f>
        <v>42.150373880630696</v>
      </c>
      <c r="AB79" s="148">
        <f>((Y79*(1-(1+Assumptions!$I$40)^(-1*(G79-Q79))))/Assumptions!$I$40)-((Y79*(1-(1+Assumptions!$I$40)^(-1*(T79))))/Assumptions!$I$40)</f>
        <v>63.225560820945702</v>
      </c>
      <c r="AC79" s="148">
        <f>((Z79*(1-(1+Assumptions!$J$40)^(-1*(G79-Q79))))/Assumptions!$J$40)-((Z79*(1-(1+Assumptions!$J$40)^(-1*(T79))))/Assumptions!$J$40)</f>
        <v>42.150373880630696</v>
      </c>
      <c r="AD79" s="148">
        <f>((X79*(1-(1+Assumptions!$H$46)^(-1*(G79-Q79))))/Assumptions!$H$46)-((X79*(1-(1+Assumptions!$H$46)^(-1*(T79))))/Assumptions!$H$46)</f>
        <v>154.16662527385506</v>
      </c>
      <c r="AE79" s="148">
        <f>((Y79*(1-(1+Assumptions!$I$46)^(-1*(G79-Q79))))/Assumptions!$I$46)-((Y79*(1-(1+Assumptions!$I$46)^(-1*(T79))))/Assumptions!$I$46)</f>
        <v>231.24993791078259</v>
      </c>
      <c r="AF79" s="148">
        <f>((Z79*(1-(1+Assumptions!$J$46)^(-1*(G79-Q79))))/Assumptions!$J$46)-((Z79*(1-(1+Assumptions!$J$46)^(-1*(T79))))/Assumptions!$J$46)</f>
        <v>154.16662527385506</v>
      </c>
      <c r="AG79" s="145">
        <v>37134</v>
      </c>
      <c r="AH79" s="148">
        <f>((AI79*(1-(1+Assumptions!$M$40)^(-1*(G79-Q79))))/Assumptions!$M$40)-((AI79*(1-(1+Assumptions!$M$40)^(-1*(T79))))/Assumptions!$M$40)</f>
        <v>3580.3917094330245</v>
      </c>
      <c r="AI79" s="409">
        <f>IF(P79&gt;29.999,(VLOOKUP(N79,Assumptions!$B$24:$M$34,12,FALSE)),(VLOOKUP(N79,Assumptions!$B$24:$M$34,12,FALSE)/30*P79))</f>
        <v>2087.6712328767126</v>
      </c>
      <c r="AJ79" s="148">
        <f>((AI79*(1-(1+Assumptions!$L$40)^(-1*(G79-Q79))))/Assumptions!$L$40)-((AI79*(1-(1+Assumptions!$L$40)^(-1*(T79))))/Assumptions!$L$40)</f>
        <v>758.70672985135025</v>
      </c>
      <c r="AK79" s="148">
        <f>((AI79*(1-(1+Assumptions!$L$46)^(-1*(G79-Q79))))/Assumptions!$L$46)-((AI79*(1-(1+Assumptions!$L$46)^(-1*(T79))))/Assumptions!$L$46)</f>
        <v>2774.9992549293929</v>
      </c>
      <c r="AL79" s="148">
        <f>IF(Q79&gt;Assumptions!$L$3,W79,0)</f>
        <v>0</v>
      </c>
      <c r="AM79" s="3"/>
      <c r="AN79" s="3"/>
      <c r="AO79" s="114"/>
      <c r="AP79" s="116"/>
      <c r="AQ79" s="114"/>
      <c r="AR79" s="116"/>
    </row>
    <row r="80" spans="1:44" x14ac:dyDescent="0.2">
      <c r="A80" s="3" t="s">
        <v>104</v>
      </c>
      <c r="B80" s="189">
        <f t="shared" si="10"/>
        <v>76</v>
      </c>
      <c r="D80" s="503" t="s">
        <v>408</v>
      </c>
      <c r="F80" s="36" t="s">
        <v>5</v>
      </c>
      <c r="G80" s="5">
        <f>IF(F80="f",Assumptions!$E$39,Assumptions!$E$38)</f>
        <v>89.3</v>
      </c>
      <c r="H80" s="114">
        <v>26512</v>
      </c>
      <c r="I80" s="116">
        <v>36499</v>
      </c>
      <c r="J80" s="22"/>
      <c r="K80" s="22"/>
      <c r="L80" s="91">
        <f>(((H80+(Assumptions!$E$43*365))-I80))/365</f>
        <v>37.638356164383559</v>
      </c>
      <c r="M80" s="240"/>
      <c r="N80" s="125" t="s">
        <v>220</v>
      </c>
      <c r="O80" s="121">
        <f>IF($P80&gt;29.999,(VLOOKUP($N80,Assumptions!$B$24:$J$34,6,FALSE)),(VLOOKUP($N80,Assumptions!$B$24:$J$34,6,FALSE)/30*$P80))</f>
        <v>2087.6712328767126</v>
      </c>
      <c r="P80" s="7">
        <f t="shared" si="7"/>
        <v>1.7397260273972603</v>
      </c>
      <c r="Q80" s="39">
        <f t="shared" si="8"/>
        <v>29.101369863013698</v>
      </c>
      <c r="R80" s="23"/>
      <c r="T80" s="81">
        <f>IF(Q80&lt;=Assumptions!$E$43,Assumptions!$E$43-Q80,Assumptions!$E$45)</f>
        <v>35.898630136986299</v>
      </c>
      <c r="U80" s="191">
        <f t="shared" si="9"/>
        <v>1.7397260273972603</v>
      </c>
      <c r="V80" s="277">
        <f>((O80*(1-(1+Assumptions!$G$40)^(-1*(G80-Q80))))/Assumptions!$G$40)-((O80*(1-(1+Assumptions!$G$40)^(-1*(T80))))/Assumptions!$G$40)</f>
        <v>922.08427105362352</v>
      </c>
      <c r="W80" s="277">
        <f>((O80*(1-(1+Assumptions!$G$46)^(-1*(G80-Q80))))/Assumptions!$G$46)-((O80*(1-(1+Assumptions!$G$46)^(-1*(T80))))/Assumptions!$G$46)</f>
        <v>3170.1991356930957</v>
      </c>
      <c r="X80" s="121">
        <f>IF($P80&gt;29.999,(VLOOKUP($N80,Assumptions!$B$24:$J$34,7,FALSE)),(VLOOKUP($N80,Assumptions!$B$24:$J$34,7,FALSE)/30*$P80))</f>
        <v>115.98173515981736</v>
      </c>
      <c r="Y80" s="121">
        <f>IF($P80&gt;29.999,(VLOOKUP($N80,Assumptions!$B$24:$J$34,8,FALSE)),(VLOOKUP($N80,Assumptions!$B$24:$J$34,8,FALSE)/30*$P80))</f>
        <v>173.97260273972603</v>
      </c>
      <c r="Z80" s="121">
        <f>IF($P80&gt;29.999,(VLOOKUP($N80,Assumptions!$B$24:$J$34,9,FALSE)),(VLOOKUP($N80,Assumptions!$B$24:$J$34,9,FALSE)/30*$P80))</f>
        <v>115.98173515981736</v>
      </c>
      <c r="AA80" s="148">
        <f>((X80*(1-(1+Assumptions!$H$40)^(-1*(G80-Q80))))/Assumptions!$H$40)-((X80*(1-(1+Assumptions!$H$40)^(-1*(T80))))/Assumptions!$H$40)</f>
        <v>51.22690394742358</v>
      </c>
      <c r="AB80" s="148">
        <f>((Y80*(1-(1+Assumptions!$I$40)^(-1*(G80-Q80))))/Assumptions!$I$40)-((Y80*(1-(1+Assumptions!$I$40)^(-1*(T80))))/Assumptions!$I$40)</f>
        <v>76.840355921135142</v>
      </c>
      <c r="AC80" s="148">
        <f>((Z80*(1-(1+Assumptions!$J$40)^(-1*(G80-Q80))))/Assumptions!$J$40)-((Z80*(1-(1+Assumptions!$J$40)^(-1*(T80))))/Assumptions!$J$40)</f>
        <v>51.22690394742358</v>
      </c>
      <c r="AD80" s="148">
        <f>((X80*(1-(1+Assumptions!$H$46)^(-1*(G80-Q80))))/Assumptions!$H$46)-((X80*(1-(1+Assumptions!$H$46)^(-1*(T80))))/Assumptions!$H$46)</f>
        <v>176.12217420517163</v>
      </c>
      <c r="AE80" s="148">
        <f>((Y80*(1-(1+Assumptions!$I$46)^(-1*(G80-Q80))))/Assumptions!$I$46)-((Y80*(1-(1+Assumptions!$I$46)^(-1*(T80))))/Assumptions!$I$46)</f>
        <v>264.18326130775768</v>
      </c>
      <c r="AF80" s="148">
        <f>((Z80*(1-(1+Assumptions!$J$46)^(-1*(G80-Q80))))/Assumptions!$J$46)-((Z80*(1-(1+Assumptions!$J$46)^(-1*(T80))))/Assumptions!$J$46)</f>
        <v>176.12217420517163</v>
      </c>
      <c r="AG80" s="145">
        <v>37134</v>
      </c>
      <c r="AH80" s="148">
        <f>((AI80*(1-(1+Assumptions!$M$40)^(-1*(G80-Q80))))/Assumptions!$M$40)-((AI80*(1-(1+Assumptions!$M$40)^(-1*(T80))))/Assumptions!$M$40)</f>
        <v>4041.5799791316786</v>
      </c>
      <c r="AI80" s="409">
        <f>IF(P80&gt;29.999,(VLOOKUP(N80,Assumptions!$B$24:$M$34,12,FALSE)),(VLOOKUP(N80,Assumptions!$B$24:$M$34,12,FALSE)/30*P80))</f>
        <v>2087.6712328767126</v>
      </c>
      <c r="AJ80" s="148">
        <f>((AI80*(1-(1+Assumptions!$L$40)^(-1*(G80-Q80))))/Assumptions!$L$40)-((AI80*(1-(1+Assumptions!$L$40)^(-1*(T80))))/Assumptions!$L$40)</f>
        <v>922.08427105362352</v>
      </c>
      <c r="AK80" s="148">
        <f>((AI80*(1-(1+Assumptions!$L$46)^(-1*(G80-Q80))))/Assumptions!$L$46)-((AI80*(1-(1+Assumptions!$L$46)^(-1*(T80))))/Assumptions!$L$46)</f>
        <v>3170.1991356930957</v>
      </c>
      <c r="AL80" s="148">
        <f>IF(Q80&gt;Assumptions!$L$3,W80,0)</f>
        <v>0</v>
      </c>
      <c r="AM80" s="3"/>
      <c r="AN80" s="3"/>
      <c r="AO80" s="114"/>
      <c r="AP80" s="116"/>
      <c r="AQ80" s="114"/>
      <c r="AR80" s="116"/>
    </row>
    <row r="81" spans="1:44" x14ac:dyDescent="0.2">
      <c r="A81" s="3" t="s">
        <v>104</v>
      </c>
      <c r="B81" s="189">
        <f t="shared" si="10"/>
        <v>77</v>
      </c>
      <c r="D81" s="503" t="s">
        <v>409</v>
      </c>
      <c r="F81" s="36" t="s">
        <v>6</v>
      </c>
      <c r="G81" s="5">
        <f>IF(F81="f",Assumptions!$E$39,Assumptions!$E$38)</f>
        <v>81.8</v>
      </c>
      <c r="H81" s="114">
        <v>25298</v>
      </c>
      <c r="I81" s="116">
        <v>36499</v>
      </c>
      <c r="J81" s="22"/>
      <c r="K81" s="22"/>
      <c r="L81" s="91">
        <f>(((H81+(Assumptions!$E$43*365))-I81))/365</f>
        <v>34.31232876712329</v>
      </c>
      <c r="M81" s="240"/>
      <c r="N81" s="125" t="s">
        <v>221</v>
      </c>
      <c r="O81" s="121">
        <f>IF($P81&gt;29.999,(VLOOKUP($N81,Assumptions!$B$24:$J$34,6,FALSE)),(VLOOKUP($N81,Assumptions!$B$24:$J$34,6,FALSE)/30*$P81))</f>
        <v>2087.6712328767126</v>
      </c>
      <c r="P81" s="7">
        <f t="shared" si="7"/>
        <v>1.7397260273972603</v>
      </c>
      <c r="Q81" s="39">
        <f t="shared" si="8"/>
        <v>32.42739726027397</v>
      </c>
      <c r="R81" s="23"/>
      <c r="T81" s="81">
        <f>IF(Q81&lt;=Assumptions!$E$43,Assumptions!$E$43-Q81,Assumptions!$E$45)</f>
        <v>32.57260273972603</v>
      </c>
      <c r="U81" s="191">
        <f t="shared" si="9"/>
        <v>1.7397260273972603</v>
      </c>
      <c r="V81" s="277">
        <f>((O81*(1-(1+Assumptions!$G$40)^(-1*(G81-Q81))))/Assumptions!$G$40)-((O81*(1-(1+Assumptions!$G$40)^(-1*(T81))))/Assumptions!$G$40)</f>
        <v>1071.3991024044954</v>
      </c>
      <c r="W81" s="277">
        <f>((O81*(1-(1+Assumptions!$G$46)^(-1*(G81-Q81))))/Assumptions!$G$46)-((O81*(1-(1+Assumptions!$G$46)^(-1*(T81))))/Assumptions!$G$46)</f>
        <v>3182.3929327524311</v>
      </c>
      <c r="X81" s="121">
        <f>IF($P81&gt;29.999,(VLOOKUP($N81,Assumptions!$B$24:$J$34,7,FALSE)),(VLOOKUP($N81,Assumptions!$B$24:$J$34,7,FALSE)/30*$P81))</f>
        <v>173.97260273972603</v>
      </c>
      <c r="Y81" s="121">
        <f>IF($P81&gt;29.999,(VLOOKUP($N81,Assumptions!$B$24:$J$34,8,FALSE)),(VLOOKUP($N81,Assumptions!$B$24:$J$34,8,FALSE)/30*$P81))</f>
        <v>231.96347031963472</v>
      </c>
      <c r="Z81" s="121">
        <f>IF($P81&gt;29.999,(VLOOKUP($N81,Assumptions!$B$24:$J$34,9,FALSE)),(VLOOKUP($N81,Assumptions!$B$24:$J$34,9,FALSE)/30*$P81))</f>
        <v>173.97260273972603</v>
      </c>
      <c r="AA81" s="148">
        <f>((X81*(1-(1+Assumptions!$H$40)^(-1*(G81-Q81))))/Assumptions!$H$40)-((X81*(1-(1+Assumptions!$H$40)^(-1*(T81))))/Assumptions!$H$40)</f>
        <v>89.283258533708022</v>
      </c>
      <c r="AB81" s="148">
        <f>((Y81*(1-(1+Assumptions!$I$40)^(-1*(G81-Q81))))/Assumptions!$I$40)-((Y81*(1-(1+Assumptions!$I$40)^(-1*(T81))))/Assumptions!$I$40)</f>
        <v>119.04434471161039</v>
      </c>
      <c r="AC81" s="148">
        <f>((Z81*(1-(1+Assumptions!$J$40)^(-1*(G81-Q81))))/Assumptions!$J$40)-((Z81*(1-(1+Assumptions!$J$40)^(-1*(T81))))/Assumptions!$J$40)</f>
        <v>89.283258533708022</v>
      </c>
      <c r="AD81" s="148">
        <f>((X81*(1-(1+Assumptions!$H$46)^(-1*(G81-Q81))))/Assumptions!$H$46)-((X81*(1-(1+Assumptions!$H$46)^(-1*(T81))))/Assumptions!$H$46)</f>
        <v>265.19941106270289</v>
      </c>
      <c r="AE81" s="148">
        <f>((Y81*(1-(1+Assumptions!$I$46)^(-1*(G81-Q81))))/Assumptions!$I$46)-((Y81*(1-(1+Assumptions!$I$46)^(-1*(T81))))/Assumptions!$I$46)</f>
        <v>353.59921475027068</v>
      </c>
      <c r="AF81" s="148">
        <f>((Z81*(1-(1+Assumptions!$J$46)^(-1*(G81-Q81))))/Assumptions!$J$46)-((Z81*(1-(1+Assumptions!$J$46)^(-1*(T81))))/Assumptions!$J$46)</f>
        <v>265.19941106270289</v>
      </c>
      <c r="AG81" s="145">
        <v>37134</v>
      </c>
      <c r="AH81" s="148">
        <f>((AI81*(1-(1+Assumptions!$M$40)^(-1*(G81-Q81))))/Assumptions!$M$40)-((AI81*(1-(1+Assumptions!$M$40)^(-1*(T81))))/Assumptions!$M$40)</f>
        <v>3936.6127811424958</v>
      </c>
      <c r="AI81" s="409">
        <f>IF(P81&gt;29.999,(VLOOKUP(N81,Assumptions!$B$24:$M$34,12,FALSE)),(VLOOKUP(N81,Assumptions!$B$24:$M$34,12,FALSE)/30*P81))</f>
        <v>2087.6712328767126</v>
      </c>
      <c r="AJ81" s="148">
        <f>((AI81*(1-(1+Assumptions!$L$40)^(-1*(G81-Q81))))/Assumptions!$L$40)-((AI81*(1-(1+Assumptions!$L$40)^(-1*(T81))))/Assumptions!$L$40)</f>
        <v>1071.3991024044954</v>
      </c>
      <c r="AK81" s="148">
        <f>((AI81*(1-(1+Assumptions!$L$46)^(-1*(G81-Q81))))/Assumptions!$L$46)-((AI81*(1-(1+Assumptions!$L$46)^(-1*(T81))))/Assumptions!$L$46)</f>
        <v>3182.3929327524311</v>
      </c>
      <c r="AL81" s="148">
        <f>IF(Q81&gt;Assumptions!$L$3,W81,0)</f>
        <v>0</v>
      </c>
      <c r="AM81" s="3"/>
      <c r="AN81" s="3"/>
      <c r="AO81" s="114"/>
      <c r="AP81" s="116"/>
      <c r="AQ81" s="114"/>
      <c r="AR81" s="116"/>
    </row>
    <row r="82" spans="1:44" x14ac:dyDescent="0.2">
      <c r="A82" s="3" t="s">
        <v>104</v>
      </c>
      <c r="B82" s="189">
        <f t="shared" si="10"/>
        <v>78</v>
      </c>
      <c r="D82" s="503" t="s">
        <v>410</v>
      </c>
      <c r="F82" s="36" t="s">
        <v>6</v>
      </c>
      <c r="G82" s="5">
        <f>IF(F82="f",Assumptions!$E$39,Assumptions!$E$38)</f>
        <v>81.8</v>
      </c>
      <c r="H82" s="115">
        <v>22014</v>
      </c>
      <c r="I82" s="116">
        <v>36863</v>
      </c>
      <c r="J82" s="22"/>
      <c r="K82" s="22"/>
      <c r="L82" s="91">
        <f>(((H82+(Assumptions!$E$43*365))-I82))/365</f>
        <v>24.317808219178083</v>
      </c>
      <c r="M82" s="240"/>
      <c r="N82" s="125" t="s">
        <v>211</v>
      </c>
      <c r="O82" s="121">
        <f>IF($P82&gt;29.999,(VLOOKUP($N82,Assumptions!$B$24:$J$34,6,FALSE)),(VLOOKUP($N82,Assumptions!$B$24:$J$34,6,FALSE)/30*$P82))</f>
        <v>890.95890410958896</v>
      </c>
      <c r="P82" s="7">
        <f t="shared" si="7"/>
        <v>0.74246575342465748</v>
      </c>
      <c r="Q82" s="39">
        <f t="shared" si="8"/>
        <v>41.424657534246577</v>
      </c>
      <c r="R82" s="23"/>
      <c r="T82" s="81">
        <f>IF(Q82&lt;=Assumptions!$E$43,Assumptions!$E$43-Q82,Assumptions!$E$45)</f>
        <v>23.575342465753423</v>
      </c>
      <c r="U82" s="191">
        <f t="shared" si="9"/>
        <v>0.74246575342465748</v>
      </c>
      <c r="V82" s="277">
        <f>((O82*(1-(1+Assumptions!$G$40)^(-1*(G82-Q82))))/Assumptions!$G$40)-((O82*(1-(1+Assumptions!$G$40)^(-1*(T82))))/Assumptions!$G$40)</f>
        <v>992.84804936385081</v>
      </c>
      <c r="W82" s="277">
        <f>((O82*(1-(1+Assumptions!$G$46)^(-1*(G82-Q82))))/Assumptions!$G$46)-((O82*(1-(1+Assumptions!$G$46)^(-1*(T82))))/Assumptions!$G$46)</f>
        <v>2305.9185738580563</v>
      </c>
      <c r="X82" s="121">
        <f>IF($P82&gt;29.999,(VLOOKUP($N82,Assumptions!$B$24:$J$34,7,FALSE)),(VLOOKUP($N82,Assumptions!$B$24:$J$34,7,FALSE)/30*$P82))</f>
        <v>247.48858447488581</v>
      </c>
      <c r="Y82" s="121">
        <f>IF($P82&gt;29.999,(VLOOKUP($N82,Assumptions!$B$24:$J$34,8,FALSE)),(VLOOKUP($N82,Assumptions!$B$24:$J$34,8,FALSE)/30*$P82))</f>
        <v>296.98630136986299</v>
      </c>
      <c r="Z82" s="121">
        <f>IF($P82&gt;29.999,(VLOOKUP($N82,Assumptions!$B$24:$J$34,9,FALSE)),(VLOOKUP($N82,Assumptions!$B$24:$J$34,9,FALSE)/30*$P82))</f>
        <v>247.48858447488581</v>
      </c>
      <c r="AA82" s="148">
        <f>((X82*(1-(1+Assumptions!$H$40)^(-1*(G82-Q82))))/Assumptions!$H$40)-((X82*(1-(1+Assumptions!$H$40)^(-1*(T82))))/Assumptions!$H$40)</f>
        <v>275.79112482329083</v>
      </c>
      <c r="AB82" s="148">
        <f>((Y82*(1-(1+Assumptions!$I$40)^(-1*(G82-Q82))))/Assumptions!$I$40)-((Y82*(1-(1+Assumptions!$I$40)^(-1*(T82))))/Assumptions!$I$40)</f>
        <v>330.94934978794936</v>
      </c>
      <c r="AC82" s="148">
        <f>((Z82*(1-(1+Assumptions!$J$40)^(-1*(G82-Q82))))/Assumptions!$J$40)-((Z82*(1-(1+Assumptions!$J$40)^(-1*(T82))))/Assumptions!$J$40)</f>
        <v>275.79112482329083</v>
      </c>
      <c r="AD82" s="148">
        <f>((X82*(1-(1+Assumptions!$H$46)^(-1*(G82-Q82))))/Assumptions!$H$46)-((X82*(1-(1+Assumptions!$H$46)^(-1*(T82))))/Assumptions!$H$46)</f>
        <v>640.53293718279292</v>
      </c>
      <c r="AE82" s="148">
        <f>((Y82*(1-(1+Assumptions!$I$46)^(-1*(G82-Q82))))/Assumptions!$I$46)-((Y82*(1-(1+Assumptions!$I$46)^(-1*(T82))))/Assumptions!$I$46)</f>
        <v>768.63952461935196</v>
      </c>
      <c r="AF82" s="148">
        <f>((Z82*(1-(1+Assumptions!$J$46)^(-1*(G82-Q82))))/Assumptions!$J$46)-((Z82*(1-(1+Assumptions!$J$46)^(-1*(T82))))/Assumptions!$J$46)</f>
        <v>640.53293718279292</v>
      </c>
      <c r="AG82" s="145">
        <v>37134</v>
      </c>
      <c r="AH82" s="148">
        <f>((AI82*(1-(1+Assumptions!$M$40)^(-1*(G82-Q82))))/Assumptions!$M$40)-((AI82*(1-(1+Assumptions!$M$40)^(-1*(T82))))/Assumptions!$M$40)</f>
        <v>2719.7356569618114</v>
      </c>
      <c r="AI82" s="409">
        <f>IF(P82&gt;29.999,(VLOOKUP(N82,Assumptions!$B$24:$M$34,12,FALSE)),(VLOOKUP(N82,Assumptions!$B$24:$M$34,12,FALSE)/30*P82))</f>
        <v>890.95890410958896</v>
      </c>
      <c r="AJ82" s="148">
        <f>((AI82*(1-(1+Assumptions!$L$40)^(-1*(G82-Q82))))/Assumptions!$L$40)-((AI82*(1-(1+Assumptions!$L$40)^(-1*(T82))))/Assumptions!$L$40)</f>
        <v>992.84804936385081</v>
      </c>
      <c r="AK82" s="148">
        <f>((AI82*(1-(1+Assumptions!$L$46)^(-1*(G82-Q82))))/Assumptions!$L$46)-((AI82*(1-(1+Assumptions!$L$46)^(-1*(T82))))/Assumptions!$L$46)</f>
        <v>2305.9185738580563</v>
      </c>
      <c r="AL82" s="148">
        <f>IF(Q82&gt;Assumptions!$L$3,W82,0)</f>
        <v>0</v>
      </c>
      <c r="AM82" s="3"/>
      <c r="AN82" s="3"/>
      <c r="AO82" s="115"/>
      <c r="AP82" s="116"/>
      <c r="AQ82" s="114"/>
      <c r="AR82" s="116"/>
    </row>
    <row r="83" spans="1:44" x14ac:dyDescent="0.2">
      <c r="A83" s="3" t="s">
        <v>104</v>
      </c>
      <c r="B83" s="189">
        <f t="shared" si="10"/>
        <v>79</v>
      </c>
      <c r="D83" s="503" t="s">
        <v>411</v>
      </c>
      <c r="F83" s="36" t="s">
        <v>6</v>
      </c>
      <c r="G83" s="5">
        <f>IF(F83="f",Assumptions!$E$39,Assumptions!$E$38)</f>
        <v>81.8</v>
      </c>
      <c r="H83" s="115">
        <v>22855</v>
      </c>
      <c r="I83" s="116">
        <v>36863</v>
      </c>
      <c r="J83" s="22"/>
      <c r="K83" s="22"/>
      <c r="L83" s="91">
        <f>(((H83+(Assumptions!$E$43*365))-I83))/365</f>
        <v>26.621917808219177</v>
      </c>
      <c r="M83" s="240"/>
      <c r="N83" s="125" t="s">
        <v>222</v>
      </c>
      <c r="O83" s="121">
        <f>IF($P83&gt;29.999,(VLOOKUP($N83,Assumptions!$B$24:$J$34,6,FALSE)),(VLOOKUP($N83,Assumptions!$B$24:$J$34,6,FALSE)/30*$P83))</f>
        <v>890.95890410958896</v>
      </c>
      <c r="P83" s="7">
        <f t="shared" si="7"/>
        <v>0.74246575342465748</v>
      </c>
      <c r="Q83" s="39">
        <f t="shared" si="8"/>
        <v>39.12054794520548</v>
      </c>
      <c r="R83" s="23"/>
      <c r="T83" s="81">
        <f>IF(Q83&lt;=Assumptions!$E$43,Assumptions!$E$43-Q83,Assumptions!$E$45)</f>
        <v>25.87945205479452</v>
      </c>
      <c r="U83" s="191">
        <f t="shared" si="9"/>
        <v>0.74246575342465748</v>
      </c>
      <c r="V83" s="277">
        <f>((O83*(1-(1+Assumptions!$G$40)^(-1*(G83-Q83))))/Assumptions!$G$40)-((O83*(1-(1+Assumptions!$G$40)^(-1*(T83))))/Assumptions!$G$40)</f>
        <v>814.04428954025025</v>
      </c>
      <c r="W83" s="277">
        <f>((O83*(1-(1+Assumptions!$G$46)^(-1*(G83-Q83))))/Assumptions!$G$46)-((O83*(1-(1+Assumptions!$G$46)^(-1*(T83))))/Assumptions!$G$46)</f>
        <v>2013.5862106725071</v>
      </c>
      <c r="X83" s="121">
        <f>IF($P83&gt;29.999,(VLOOKUP($N83,Assumptions!$B$24:$J$34,7,FALSE)),(VLOOKUP($N83,Assumptions!$B$24:$J$34,7,FALSE)/30*$P83))</f>
        <v>173.24200913242009</v>
      </c>
      <c r="Y83" s="121">
        <f>IF($P83&gt;29.999,(VLOOKUP($N83,Assumptions!$B$24:$J$34,8,FALSE)),(VLOOKUP($N83,Assumptions!$B$24:$J$34,8,FALSE)/30*$P83))</f>
        <v>197.99086757990867</v>
      </c>
      <c r="Z83" s="121">
        <f>IF($P83&gt;29.999,(VLOOKUP($N83,Assumptions!$B$24:$J$34,9,FALSE)),(VLOOKUP($N83,Assumptions!$B$24:$J$34,9,FALSE)/30*$P83))</f>
        <v>173.24200913242009</v>
      </c>
      <c r="AA83" s="148">
        <f>((X83*(1-(1+Assumptions!$H$40)^(-1*(G83-Q83))))/Assumptions!$H$40)-((X83*(1-(1+Assumptions!$H$40)^(-1*(T83))))/Assumptions!$H$40)</f>
        <v>158.28638963282697</v>
      </c>
      <c r="AB83" s="148">
        <f>((Y83*(1-(1+Assumptions!$I$40)^(-1*(G83-Q83))))/Assumptions!$I$40)-((Y83*(1-(1+Assumptions!$I$40)^(-1*(T83))))/Assumptions!$I$40)</f>
        <v>180.89873100894465</v>
      </c>
      <c r="AC83" s="148">
        <f>((Z83*(1-(1+Assumptions!$J$40)^(-1*(G83-Q83))))/Assumptions!$J$40)-((Z83*(1-(1+Assumptions!$J$40)^(-1*(T83))))/Assumptions!$J$40)</f>
        <v>158.28638963282697</v>
      </c>
      <c r="AD83" s="148">
        <f>((X83*(1-(1+Assumptions!$H$46)^(-1*(G83-Q83))))/Assumptions!$H$46)-((X83*(1-(1+Assumptions!$H$46)^(-1*(T83))))/Assumptions!$H$46)</f>
        <v>391.53065207520967</v>
      </c>
      <c r="AE83" s="148">
        <f>((Y83*(1-(1+Assumptions!$I$46)^(-1*(G83-Q83))))/Assumptions!$I$46)-((Y83*(1-(1+Assumptions!$I$46)^(-1*(T83))))/Assumptions!$I$46)</f>
        <v>447.463602371668</v>
      </c>
      <c r="AF83" s="148">
        <f>((Z83*(1-(1+Assumptions!$J$46)^(-1*(G83-Q83))))/Assumptions!$J$46)-((Z83*(1-(1+Assumptions!$J$46)^(-1*(T83))))/Assumptions!$J$46)</f>
        <v>391.53065207520967</v>
      </c>
      <c r="AG83" s="145">
        <v>37134</v>
      </c>
      <c r="AH83" s="148">
        <f>((AI83*(1-(1+Assumptions!$M$40)^(-1*(G83-Q83))))/Assumptions!$M$40)-((AI83*(1-(1+Assumptions!$M$40)^(-1*(T83))))/Assumptions!$M$40)</f>
        <v>2404.0886599244532</v>
      </c>
      <c r="AI83" s="409">
        <f>IF(P83&gt;29.999,(VLOOKUP(N83,Assumptions!$B$24:$M$34,12,FALSE)),(VLOOKUP(N83,Assumptions!$B$24:$M$34,12,FALSE)/30*P83))</f>
        <v>890.95890410958896</v>
      </c>
      <c r="AJ83" s="148">
        <f>((AI83*(1-(1+Assumptions!$L$40)^(-1*(G83-Q83))))/Assumptions!$L$40)-((AI83*(1-(1+Assumptions!$L$40)^(-1*(T83))))/Assumptions!$L$40)</f>
        <v>814.04428954025025</v>
      </c>
      <c r="AK83" s="148">
        <f>((AI83*(1-(1+Assumptions!$L$46)^(-1*(G83-Q83))))/Assumptions!$L$46)-((AI83*(1-(1+Assumptions!$L$46)^(-1*(T83))))/Assumptions!$L$46)</f>
        <v>2013.5862106725071</v>
      </c>
      <c r="AL83" s="148">
        <f>IF(Q83&gt;Assumptions!$L$3,W83,0)</f>
        <v>0</v>
      </c>
      <c r="AM83" s="3"/>
      <c r="AN83" s="3"/>
      <c r="AO83" s="115"/>
      <c r="AP83" s="116"/>
      <c r="AQ83" s="114"/>
      <c r="AR83" s="116"/>
    </row>
    <row r="84" spans="1:44" x14ac:dyDescent="0.2">
      <c r="A84" s="3" t="s">
        <v>104</v>
      </c>
      <c r="B84" s="189">
        <f t="shared" si="10"/>
        <v>80</v>
      </c>
      <c r="D84" s="503" t="s">
        <v>412</v>
      </c>
      <c r="F84" s="36" t="s">
        <v>6</v>
      </c>
      <c r="G84" s="5">
        <f>IF(F84="f",Assumptions!$E$39,Assumptions!$E$38)</f>
        <v>81.8</v>
      </c>
      <c r="H84" s="115">
        <v>27788</v>
      </c>
      <c r="I84" s="116">
        <v>36616</v>
      </c>
      <c r="J84" s="22"/>
      <c r="K84" s="22"/>
      <c r="L84" s="91">
        <f>(((H84+(Assumptions!$E$43*365))-I84))/365</f>
        <v>40.813698630136983</v>
      </c>
      <c r="M84" s="240"/>
      <c r="N84" s="125" t="s">
        <v>220</v>
      </c>
      <c r="O84" s="121">
        <f>IF($P84&gt;29.999,(VLOOKUP($N84,Assumptions!$B$24:$J$34,6,FALSE)),(VLOOKUP($N84,Assumptions!$B$24:$J$34,6,FALSE)/30*$P84))</f>
        <v>1703.013698630137</v>
      </c>
      <c r="P84" s="7">
        <f t="shared" si="7"/>
        <v>1.4191780821917808</v>
      </c>
      <c r="Q84" s="39">
        <f t="shared" si="8"/>
        <v>25.605479452054794</v>
      </c>
      <c r="R84" s="23"/>
      <c r="T84" s="81">
        <f>IF(Q84&lt;=Assumptions!$E$43,Assumptions!$E$43-Q84,Assumptions!$E$45)</f>
        <v>39.394520547945206</v>
      </c>
      <c r="U84" s="191">
        <f t="shared" si="9"/>
        <v>1.4191780821917808</v>
      </c>
      <c r="V84" s="277">
        <f>((O84*(1-(1+Assumptions!$G$40)^(-1*(G84-Q84))))/Assumptions!$G$40)-((O84*(1-(1+Assumptions!$G$40)^(-1*(T84))))/Assumptions!$G$40)</f>
        <v>485.4973009409623</v>
      </c>
      <c r="W84" s="277">
        <f>((O84*(1-(1+Assumptions!$G$46)^(-1*(G84-Q84))))/Assumptions!$G$46)-((O84*(1-(1+Assumptions!$G$46)^(-1*(T84))))/Assumptions!$G$46)</f>
        <v>1737.7958881579434</v>
      </c>
      <c r="X84" s="121">
        <f>IF($P84&gt;29.999,(VLOOKUP($N84,Assumptions!$B$24:$J$34,7,FALSE)),(VLOOKUP($N84,Assumptions!$B$24:$J$34,7,FALSE)/30*$P84))</f>
        <v>94.611872146118728</v>
      </c>
      <c r="Y84" s="121">
        <f>IF($P84&gt;29.999,(VLOOKUP($N84,Assumptions!$B$24:$J$34,8,FALSE)),(VLOOKUP($N84,Assumptions!$B$24:$J$34,8,FALSE)/30*$P84))</f>
        <v>141.91780821917808</v>
      </c>
      <c r="Z84" s="121">
        <f>IF($P84&gt;29.999,(VLOOKUP($N84,Assumptions!$B$24:$J$34,9,FALSE)),(VLOOKUP($N84,Assumptions!$B$24:$J$34,9,FALSE)/30*$P84))</f>
        <v>94.611872146118728</v>
      </c>
      <c r="AA84" s="148">
        <f>((X84*(1-(1+Assumptions!$H$40)^(-1*(G84-Q84))))/Assumptions!$H$40)-((X84*(1-(1+Assumptions!$H$40)^(-1*(T84))))/Assumptions!$H$40)</f>
        <v>26.972072274497805</v>
      </c>
      <c r="AB84" s="148">
        <f>((Y84*(1-(1+Assumptions!$I$40)^(-1*(G84-Q84))))/Assumptions!$I$40)-((Y84*(1-(1+Assumptions!$I$40)^(-1*(T84))))/Assumptions!$I$40)</f>
        <v>40.458108411746707</v>
      </c>
      <c r="AC84" s="148">
        <f>((Z84*(1-(1+Assumptions!$J$40)^(-1*(G84-Q84))))/Assumptions!$J$40)-((Z84*(1-(1+Assumptions!$J$40)^(-1*(T84))))/Assumptions!$J$40)</f>
        <v>26.972072274497805</v>
      </c>
      <c r="AD84" s="148">
        <f>((X84*(1-(1+Assumptions!$H$46)^(-1*(G84-Q84))))/Assumptions!$H$46)-((X84*(1-(1+Assumptions!$H$46)^(-1*(T84))))/Assumptions!$H$46)</f>
        <v>96.544216008774583</v>
      </c>
      <c r="AE84" s="148">
        <f>((Y84*(1-(1+Assumptions!$I$46)^(-1*(G84-Q84))))/Assumptions!$I$46)-((Y84*(1-(1+Assumptions!$I$46)^(-1*(T84))))/Assumptions!$I$46)</f>
        <v>144.8163240131621</v>
      </c>
      <c r="AF84" s="148">
        <f>((Z84*(1-(1+Assumptions!$J$46)^(-1*(G84-Q84))))/Assumptions!$J$46)-((Z84*(1-(1+Assumptions!$J$46)^(-1*(T84))))/Assumptions!$J$46)</f>
        <v>96.544216008774583</v>
      </c>
      <c r="AG84" s="145">
        <v>37134</v>
      </c>
      <c r="AH84" s="148">
        <f>((AI84*(1-(1+Assumptions!$M$40)^(-1*(G84-Q84))))/Assumptions!$M$40)-((AI84*(1-(1+Assumptions!$M$40)^(-1*(T84))))/Assumptions!$M$40)</f>
        <v>2228.7038545155883</v>
      </c>
      <c r="AI84" s="409">
        <f>IF(P84&gt;29.999,(VLOOKUP(N84,Assumptions!$B$24:$M$34,12,FALSE)),(VLOOKUP(N84,Assumptions!$B$24:$M$34,12,FALSE)/30*P84))</f>
        <v>1703.013698630137</v>
      </c>
      <c r="AJ84" s="148">
        <f>((AI84*(1-(1+Assumptions!$L$40)^(-1*(G84-Q84))))/Assumptions!$L$40)-((AI84*(1-(1+Assumptions!$L$40)^(-1*(T84))))/Assumptions!$L$40)</f>
        <v>485.4973009409623</v>
      </c>
      <c r="AK84" s="148">
        <f>((AI84*(1-(1+Assumptions!$L$46)^(-1*(G84-Q84))))/Assumptions!$L$46)-((AI84*(1-(1+Assumptions!$L$46)^(-1*(T84))))/Assumptions!$L$46)</f>
        <v>1737.7958881579434</v>
      </c>
      <c r="AL84" s="148">
        <f>IF(Q84&gt;Assumptions!$L$3,W84,0)</f>
        <v>0</v>
      </c>
      <c r="AM84" s="3"/>
      <c r="AN84" s="3"/>
      <c r="AO84" s="115"/>
      <c r="AP84" s="116"/>
      <c r="AQ84" s="114"/>
      <c r="AR84" s="116"/>
    </row>
    <row r="85" spans="1:44" x14ac:dyDescent="0.2">
      <c r="A85" s="3" t="s">
        <v>104</v>
      </c>
      <c r="B85" s="189">
        <f t="shared" si="10"/>
        <v>81</v>
      </c>
      <c r="D85" s="503" t="s">
        <v>413</v>
      </c>
      <c r="F85" s="36" t="s">
        <v>6</v>
      </c>
      <c r="G85" s="5">
        <f>IF(F85="f",Assumptions!$E$39,Assumptions!$E$38)</f>
        <v>81.8</v>
      </c>
      <c r="H85" s="115">
        <v>27088</v>
      </c>
      <c r="I85" s="116">
        <v>36863</v>
      </c>
      <c r="J85" s="22"/>
      <c r="K85" s="22"/>
      <c r="L85" s="91">
        <f>(((H85+(Assumptions!$E$43*365))-I85))/365</f>
        <v>38.219178082191782</v>
      </c>
      <c r="M85" s="240"/>
      <c r="N85" s="125" t="s">
        <v>220</v>
      </c>
      <c r="O85" s="121">
        <f>IF($P85&gt;29.999,(VLOOKUP($N85,Assumptions!$B$24:$J$34,6,FALSE)),(VLOOKUP($N85,Assumptions!$B$24:$J$34,6,FALSE)/30*$P85))</f>
        <v>890.95890410958896</v>
      </c>
      <c r="P85" s="7">
        <f t="shared" si="7"/>
        <v>0.74246575342465748</v>
      </c>
      <c r="Q85" s="39">
        <f t="shared" si="8"/>
        <v>27.523287671232875</v>
      </c>
      <c r="R85" s="23"/>
      <c r="T85" s="81">
        <f>IF(Q85&lt;=Assumptions!$E$43,Assumptions!$E$43-Q85,Assumptions!$E$45)</f>
        <v>37.476712328767121</v>
      </c>
      <c r="U85" s="191">
        <f t="shared" si="9"/>
        <v>0.74246575342465748</v>
      </c>
      <c r="V85" s="277">
        <f>((O85*(1-(1+Assumptions!$G$40)^(-1*(G85-Q85))))/Assumptions!$G$40)-((O85*(1-(1+Assumptions!$G$40)^(-1*(T85))))/Assumptions!$G$40)</f>
        <v>299.64235130782072</v>
      </c>
      <c r="W85" s="277">
        <f>((O85*(1-(1+Assumptions!$G$46)^(-1*(G85-Q85))))/Assumptions!$G$46)-((O85*(1-(1+Assumptions!$G$46)^(-1*(T85))))/Assumptions!$G$46)</f>
        <v>1017.7506973109212</v>
      </c>
      <c r="X85" s="121">
        <f>IF($P85&gt;29.999,(VLOOKUP($N85,Assumptions!$B$24:$J$34,7,FALSE)),(VLOOKUP($N85,Assumptions!$B$24:$J$34,7,FALSE)/30*$P85))</f>
        <v>49.497716894977167</v>
      </c>
      <c r="Y85" s="121">
        <f>IF($P85&gt;29.999,(VLOOKUP($N85,Assumptions!$B$24:$J$34,8,FALSE)),(VLOOKUP($N85,Assumptions!$B$24:$J$34,8,FALSE)/30*$P85))</f>
        <v>74.246575342465746</v>
      </c>
      <c r="Z85" s="121">
        <f>IF($P85&gt;29.999,(VLOOKUP($N85,Assumptions!$B$24:$J$34,9,FALSE)),(VLOOKUP($N85,Assumptions!$B$24:$J$34,9,FALSE)/30*$P85))</f>
        <v>49.497716894977167</v>
      </c>
      <c r="AA85" s="148">
        <f>((X85*(1-(1+Assumptions!$H$40)^(-1*(G85-Q85))))/Assumptions!$H$40)-((X85*(1-(1+Assumptions!$H$40)^(-1*(T85))))/Assumptions!$H$40)</f>
        <v>16.646797294878979</v>
      </c>
      <c r="AB85" s="148">
        <f>((Y85*(1-(1+Assumptions!$I$40)^(-1*(G85-Q85))))/Assumptions!$I$40)-((Y85*(1-(1+Assumptions!$I$40)^(-1*(T85))))/Assumptions!$I$40)</f>
        <v>24.970195942318469</v>
      </c>
      <c r="AC85" s="148">
        <f>((Z85*(1-(1+Assumptions!$J$40)^(-1*(G85-Q85))))/Assumptions!$J$40)-((Z85*(1-(1+Assumptions!$J$40)^(-1*(T85))))/Assumptions!$J$40)</f>
        <v>16.646797294878979</v>
      </c>
      <c r="AD85" s="148">
        <f>((X85*(1-(1+Assumptions!$H$46)^(-1*(G85-Q85))))/Assumptions!$H$46)-((X85*(1-(1+Assumptions!$H$46)^(-1*(T85))))/Assumptions!$H$46)</f>
        <v>56.54170540616235</v>
      </c>
      <c r="AE85" s="148">
        <f>((Y85*(1-(1+Assumptions!$I$46)^(-1*(G85-Q85))))/Assumptions!$I$46)-((Y85*(1-(1+Assumptions!$I$46)^(-1*(T85))))/Assumptions!$I$46)</f>
        <v>84.812558109243582</v>
      </c>
      <c r="AF85" s="148">
        <f>((Z85*(1-(1+Assumptions!$J$46)^(-1*(G85-Q85))))/Assumptions!$J$46)-((Z85*(1-(1+Assumptions!$J$46)^(-1*(T85))))/Assumptions!$J$46)</f>
        <v>56.54170540616235</v>
      </c>
      <c r="AG85" s="145">
        <v>37134</v>
      </c>
      <c r="AH85" s="148">
        <f>((AI85*(1-(1+Assumptions!$M$40)^(-1*(G85-Q85))))/Assumptions!$M$40)-((AI85*(1-(1+Assumptions!$M$40)^(-1*(T85))))/Assumptions!$M$40)</f>
        <v>1292.0688414909764</v>
      </c>
      <c r="AI85" s="409">
        <f>IF(P85&gt;29.999,(VLOOKUP(N85,Assumptions!$B$24:$M$34,12,FALSE)),(VLOOKUP(N85,Assumptions!$B$24:$M$34,12,FALSE)/30*P85))</f>
        <v>890.95890410958896</v>
      </c>
      <c r="AJ85" s="148">
        <f>((AI85*(1-(1+Assumptions!$L$40)^(-1*(G85-Q85))))/Assumptions!$L$40)-((AI85*(1-(1+Assumptions!$L$40)^(-1*(T85))))/Assumptions!$L$40)</f>
        <v>299.64235130782072</v>
      </c>
      <c r="AK85" s="148">
        <f>((AI85*(1-(1+Assumptions!$L$46)^(-1*(G85-Q85))))/Assumptions!$L$46)-((AI85*(1-(1+Assumptions!$L$46)^(-1*(T85))))/Assumptions!$L$46)</f>
        <v>1017.7506973109212</v>
      </c>
      <c r="AL85" s="148">
        <f>IF(Q85&gt;Assumptions!$L$3,W85,0)</f>
        <v>0</v>
      </c>
      <c r="AM85" s="3"/>
      <c r="AN85" s="3"/>
      <c r="AO85" s="115"/>
      <c r="AP85" s="116"/>
      <c r="AQ85" s="114"/>
      <c r="AR85" s="116"/>
    </row>
    <row r="86" spans="1:44" x14ac:dyDescent="0.2">
      <c r="A86" s="3" t="s">
        <v>104</v>
      </c>
      <c r="B86" s="189">
        <f t="shared" si="10"/>
        <v>82</v>
      </c>
      <c r="D86" s="503" t="s">
        <v>414</v>
      </c>
      <c r="F86" s="36" t="s">
        <v>6</v>
      </c>
      <c r="G86" s="5">
        <f>IF(F86="f",Assumptions!$E$39,Assumptions!$E$38)</f>
        <v>81.8</v>
      </c>
      <c r="H86" s="115">
        <v>25969</v>
      </c>
      <c r="I86" s="116">
        <v>36863</v>
      </c>
      <c r="J86" s="22"/>
      <c r="K86" s="22"/>
      <c r="L86" s="91">
        <f>(((H86+(Assumptions!$E$43*365))-I86))/365</f>
        <v>35.153424657534245</v>
      </c>
      <c r="M86" s="240"/>
      <c r="N86" s="125" t="s">
        <v>221</v>
      </c>
      <c r="O86" s="121">
        <f>IF($P86&gt;29.999,(VLOOKUP($N86,Assumptions!$B$24:$J$34,6,FALSE)),(VLOOKUP($N86,Assumptions!$B$24:$J$34,6,FALSE)/30*$P86))</f>
        <v>890.95890410958896</v>
      </c>
      <c r="P86" s="7">
        <f t="shared" si="7"/>
        <v>0.74246575342465748</v>
      </c>
      <c r="Q86" s="39">
        <f t="shared" si="8"/>
        <v>30.589041095890412</v>
      </c>
      <c r="R86" s="23"/>
      <c r="T86" s="81">
        <f>IF(Q86&lt;=Assumptions!$E$43,Assumptions!$E$43-Q86,Assumptions!$E$45)</f>
        <v>34.410958904109592</v>
      </c>
      <c r="U86" s="191">
        <f t="shared" si="9"/>
        <v>0.74246575342465748</v>
      </c>
      <c r="V86" s="277">
        <f>((O86*(1-(1+Assumptions!$G$40)^(-1*(G86-Q86))))/Assumptions!$G$40)-((O86*(1-(1+Assumptions!$G$40)^(-1*(T86))))/Assumptions!$G$40)</f>
        <v>390.25062796845123</v>
      </c>
      <c r="W86" s="277">
        <f>((O86*(1-(1+Assumptions!$G$46)^(-1*(G86-Q86))))/Assumptions!$G$46)-((O86*(1-(1+Assumptions!$G$46)^(-1*(T86))))/Assumptions!$G$46)</f>
        <v>1218.9233137373521</v>
      </c>
      <c r="X86" s="121">
        <f>IF($P86&gt;29.999,(VLOOKUP($N86,Assumptions!$B$24:$J$34,7,FALSE)),(VLOOKUP($N86,Assumptions!$B$24:$J$34,7,FALSE)/30*$P86))</f>
        <v>74.246575342465746</v>
      </c>
      <c r="Y86" s="121">
        <f>IF($P86&gt;29.999,(VLOOKUP($N86,Assumptions!$B$24:$J$34,8,FALSE)),(VLOOKUP($N86,Assumptions!$B$24:$J$34,8,FALSE)/30*$P86))</f>
        <v>98.995433789954333</v>
      </c>
      <c r="Z86" s="121">
        <f>IF($P86&gt;29.999,(VLOOKUP($N86,Assumptions!$B$24:$J$34,9,FALSE)),(VLOOKUP($N86,Assumptions!$B$24:$J$34,9,FALSE)/30*$P86))</f>
        <v>74.246575342465746</v>
      </c>
      <c r="AA86" s="148">
        <f>((X86*(1-(1+Assumptions!$H$40)^(-1*(G86-Q86))))/Assumptions!$H$40)-((X86*(1-(1+Assumptions!$H$40)^(-1*(T86))))/Assumptions!$H$40)</f>
        <v>32.520885664037564</v>
      </c>
      <c r="AB86" s="148">
        <f>((Y86*(1-(1+Assumptions!$I$40)^(-1*(G86-Q86))))/Assumptions!$I$40)-((Y86*(1-(1+Assumptions!$I$40)^(-1*(T86))))/Assumptions!$I$40)</f>
        <v>43.361180885383419</v>
      </c>
      <c r="AC86" s="148">
        <f>((Z86*(1-(1+Assumptions!$J$40)^(-1*(G86-Q86))))/Assumptions!$J$40)-((Z86*(1-(1+Assumptions!$J$40)^(-1*(T86))))/Assumptions!$J$40)</f>
        <v>32.520885664037564</v>
      </c>
      <c r="AD86" s="148">
        <f>((X86*(1-(1+Assumptions!$H$46)^(-1*(G86-Q86))))/Assumptions!$H$46)-((X86*(1-(1+Assumptions!$H$46)^(-1*(T86))))/Assumptions!$H$46)</f>
        <v>101.57694281144609</v>
      </c>
      <c r="AE86" s="148">
        <f>((Y86*(1-(1+Assumptions!$I$46)^(-1*(G86-Q86))))/Assumptions!$I$46)-((Y86*(1-(1+Assumptions!$I$46)^(-1*(T86))))/Assumptions!$I$46)</f>
        <v>135.43592374859463</v>
      </c>
      <c r="AF86" s="148">
        <f>((Z86*(1-(1+Assumptions!$J$46)^(-1*(G86-Q86))))/Assumptions!$J$46)-((Z86*(1-(1+Assumptions!$J$46)^(-1*(T86))))/Assumptions!$J$46)</f>
        <v>101.57694281144609</v>
      </c>
      <c r="AG86" s="145">
        <v>37134</v>
      </c>
      <c r="AH86" s="148">
        <f>((AI86*(1-(1+Assumptions!$M$40)^(-1*(G86-Q86))))/Assumptions!$M$40)-((AI86*(1-(1+Assumptions!$M$40)^(-1*(T86))))/Assumptions!$M$40)</f>
        <v>1522.5513940655528</v>
      </c>
      <c r="AI86" s="409">
        <f>IF(P86&gt;29.999,(VLOOKUP(N86,Assumptions!$B$24:$M$34,12,FALSE)),(VLOOKUP(N86,Assumptions!$B$24:$M$34,12,FALSE)/30*P86))</f>
        <v>890.95890410958896</v>
      </c>
      <c r="AJ86" s="148">
        <f>((AI86*(1-(1+Assumptions!$L$40)^(-1*(G86-Q86))))/Assumptions!$L$40)-((AI86*(1-(1+Assumptions!$L$40)^(-1*(T86))))/Assumptions!$L$40)</f>
        <v>390.25062796845123</v>
      </c>
      <c r="AK86" s="148">
        <f>((AI86*(1-(1+Assumptions!$L$46)^(-1*(G86-Q86))))/Assumptions!$L$46)-((AI86*(1-(1+Assumptions!$L$46)^(-1*(T86))))/Assumptions!$L$46)</f>
        <v>1218.9233137373521</v>
      </c>
      <c r="AL86" s="148">
        <f>IF(Q86&gt;Assumptions!$L$3,W86,0)</f>
        <v>0</v>
      </c>
      <c r="AM86" s="3"/>
      <c r="AN86" s="3"/>
      <c r="AO86" s="115"/>
      <c r="AP86" s="116"/>
      <c r="AQ86" s="114"/>
      <c r="AR86" s="116"/>
    </row>
    <row r="87" spans="1:44" x14ac:dyDescent="0.2">
      <c r="A87" s="180"/>
      <c r="B87" s="189"/>
      <c r="D87" s="503" t="s">
        <v>415</v>
      </c>
      <c r="E87" s="253" t="s">
        <v>245</v>
      </c>
      <c r="F87" s="36" t="s">
        <v>6</v>
      </c>
      <c r="G87" s="5">
        <f>IF(F87="f",Assumptions!$E$39,Assumptions!$E$38)</f>
        <v>81.8</v>
      </c>
      <c r="H87" s="115">
        <v>27157</v>
      </c>
      <c r="I87" s="115">
        <v>37227</v>
      </c>
      <c r="J87" s="8"/>
      <c r="K87" s="8"/>
      <c r="L87" s="91"/>
      <c r="M87" s="241"/>
      <c r="N87" s="126"/>
      <c r="O87" s="84"/>
      <c r="P87" s="264"/>
      <c r="Q87" s="41"/>
      <c r="R87" s="8"/>
      <c r="U87" s="265"/>
      <c r="AG87" s="145"/>
      <c r="AI87" s="409"/>
      <c r="AM87" s="3"/>
      <c r="AN87" s="3"/>
      <c r="AO87" s="115"/>
      <c r="AP87" s="115"/>
      <c r="AQ87" s="114"/>
      <c r="AR87" s="116"/>
    </row>
    <row r="88" spans="1:44" x14ac:dyDescent="0.2">
      <c r="A88" s="180"/>
      <c r="B88" s="189"/>
      <c r="D88" s="503" t="s">
        <v>416</v>
      </c>
      <c r="E88" s="253" t="s">
        <v>245</v>
      </c>
      <c r="F88" s="106" t="s">
        <v>5</v>
      </c>
      <c r="G88" s="5">
        <f>IF(F88="f",Assumptions!$E$39,Assumptions!$E$38)</f>
        <v>89.3</v>
      </c>
      <c r="I88" s="108">
        <v>37227</v>
      </c>
      <c r="L88" s="91"/>
      <c r="P88" s="264"/>
      <c r="U88" s="265"/>
      <c r="AG88" s="145"/>
      <c r="AM88" s="3"/>
      <c r="AN88" s="3"/>
      <c r="AO88" s="104"/>
      <c r="AP88" s="108"/>
      <c r="AQ88" s="114"/>
      <c r="AR88" s="116"/>
    </row>
    <row r="89" spans="1:44" x14ac:dyDescent="0.2">
      <c r="A89" s="180"/>
      <c r="B89" s="189"/>
      <c r="D89" s="503" t="s">
        <v>417</v>
      </c>
      <c r="E89" s="253" t="s">
        <v>245</v>
      </c>
      <c r="F89" s="106" t="s">
        <v>6</v>
      </c>
      <c r="G89" s="5">
        <f>IF(F89="f",Assumptions!$E$39,Assumptions!$E$38)</f>
        <v>81.8</v>
      </c>
      <c r="I89" s="108">
        <v>37227</v>
      </c>
      <c r="L89" s="91"/>
      <c r="P89" s="264"/>
      <c r="U89" s="265"/>
      <c r="AG89" s="145"/>
      <c r="AM89" s="3"/>
      <c r="AN89" s="3"/>
      <c r="AO89" s="104"/>
      <c r="AP89" s="108"/>
      <c r="AQ89" s="114"/>
      <c r="AR89" s="116"/>
    </row>
    <row r="90" spans="1:44" x14ac:dyDescent="0.2">
      <c r="AG90" s="145"/>
      <c r="AM90" s="3"/>
      <c r="AN90" s="3"/>
      <c r="AO90" s="104"/>
      <c r="AP90" s="104"/>
      <c r="AQ90" s="114"/>
      <c r="AR90" s="116"/>
    </row>
    <row r="91" spans="1:44" x14ac:dyDescent="0.2">
      <c r="AG91" s="145"/>
      <c r="AM91" s="3"/>
      <c r="AN91" s="3"/>
      <c r="AO91" s="104"/>
      <c r="AP91" s="104"/>
      <c r="AQ91" s="114"/>
      <c r="AR91" s="116"/>
    </row>
    <row r="92" spans="1:44" x14ac:dyDescent="0.2">
      <c r="AG92" s="145"/>
      <c r="AM92" s="3"/>
      <c r="AN92" s="3"/>
      <c r="AO92" s="104"/>
      <c r="AP92" s="104"/>
      <c r="AQ92" s="114"/>
      <c r="AR92" s="116"/>
    </row>
    <row r="93" spans="1:44" x14ac:dyDescent="0.2">
      <c r="AG93" s="145"/>
      <c r="AM93" s="3"/>
      <c r="AN93" s="3"/>
      <c r="AO93" s="104"/>
      <c r="AP93" s="104"/>
      <c r="AQ93" s="114"/>
      <c r="AR93" s="116"/>
    </row>
    <row r="94" spans="1:44" x14ac:dyDescent="0.2">
      <c r="AG94" s="145"/>
      <c r="AM94" s="3"/>
      <c r="AN94" s="3"/>
      <c r="AO94" s="104"/>
      <c r="AP94" s="104"/>
      <c r="AQ94" s="114"/>
      <c r="AR94" s="116"/>
    </row>
    <row r="95" spans="1:44" x14ac:dyDescent="0.2">
      <c r="AG95" s="145"/>
      <c r="AM95" s="3"/>
      <c r="AN95" s="3"/>
      <c r="AO95" s="104"/>
      <c r="AP95" s="104"/>
      <c r="AQ95" s="114"/>
      <c r="AR95" s="116"/>
    </row>
    <row r="96" spans="1:44" x14ac:dyDescent="0.2">
      <c r="B96" s="189"/>
      <c r="D96" s="10" t="s">
        <v>530</v>
      </c>
      <c r="F96" s="36"/>
      <c r="G96" s="5"/>
      <c r="H96" s="114"/>
      <c r="I96" s="116"/>
      <c r="J96" s="6"/>
      <c r="K96" s="6"/>
      <c r="L96" s="93"/>
      <c r="M96" s="242"/>
      <c r="N96" s="125"/>
      <c r="O96" s="85"/>
      <c r="P96" s="7"/>
      <c r="Q96" s="39"/>
      <c r="R96" s="7"/>
      <c r="AG96" s="145"/>
      <c r="AM96" s="3"/>
      <c r="AN96" s="3"/>
      <c r="AO96" s="114"/>
      <c r="AP96" s="116"/>
      <c r="AQ96" s="114"/>
      <c r="AR96" s="116"/>
    </row>
    <row r="97" spans="1:44" x14ac:dyDescent="0.2">
      <c r="A97" s="3" t="s">
        <v>165</v>
      </c>
      <c r="B97" s="3" t="s">
        <v>113</v>
      </c>
      <c r="D97" s="254" t="s">
        <v>0</v>
      </c>
      <c r="E97" s="254" t="s">
        <v>110</v>
      </c>
      <c r="F97" s="106" t="s">
        <v>4</v>
      </c>
      <c r="G97" s="185"/>
      <c r="H97" s="113"/>
      <c r="I97" s="106"/>
      <c r="J97" s="4" t="s">
        <v>12</v>
      </c>
      <c r="K97" s="4" t="s">
        <v>112</v>
      </c>
      <c r="L97" s="94"/>
      <c r="M97" s="243" t="s">
        <v>11</v>
      </c>
      <c r="N97" s="128"/>
      <c r="O97" s="82"/>
      <c r="P97" s="185" t="s">
        <v>3</v>
      </c>
      <c r="Q97" s="192" t="s">
        <v>127</v>
      </c>
      <c r="R97" s="185" t="s">
        <v>128</v>
      </c>
      <c r="AG97" s="145"/>
      <c r="AM97" s="186" t="s">
        <v>111</v>
      </c>
      <c r="AN97" s="3"/>
      <c r="AO97" s="113"/>
      <c r="AP97" s="106"/>
      <c r="AQ97" s="114"/>
      <c r="AR97" s="116"/>
    </row>
    <row r="98" spans="1:44" x14ac:dyDescent="0.2">
      <c r="A98" s="3" t="s">
        <v>106</v>
      </c>
      <c r="B98" s="189">
        <f>B86+1</f>
        <v>83</v>
      </c>
      <c r="D98" s="256" t="s">
        <v>418</v>
      </c>
      <c r="F98" s="36" t="s">
        <v>5</v>
      </c>
      <c r="G98" s="5">
        <f>IF(F98="f",Assumptions!$E$39,Assumptions!$E$38)</f>
        <v>89.3</v>
      </c>
      <c r="H98" s="114">
        <v>20624</v>
      </c>
      <c r="I98" s="116">
        <v>30059</v>
      </c>
      <c r="J98" s="22"/>
      <c r="K98" s="22"/>
      <c r="L98" s="91">
        <f>(((H98+(Assumptions!$E$43*365))-I98))/365</f>
        <v>39.150684931506852</v>
      </c>
      <c r="M98" s="240"/>
      <c r="N98" s="125" t="s">
        <v>223</v>
      </c>
      <c r="O98" s="121">
        <f>IF($P98&gt;29.999,(VLOOKUP($N98,Assumptions!$B$24:$J$34,6,FALSE)),(VLOOKUP($N98,Assumptions!$B$24:$J$34,6,FALSE)/30*$P98))</f>
        <v>23260.273972602739</v>
      </c>
      <c r="P98" s="7">
        <f>(AG98-I98)/365</f>
        <v>19.383561643835616</v>
      </c>
      <c r="Q98" s="39">
        <f>(AG98-H98)/365</f>
        <v>45.232876712328768</v>
      </c>
      <c r="R98" s="23"/>
      <c r="T98" s="81">
        <f>IF(Q98&lt;=Assumptions!$E$43,Assumptions!$E$43-Q98,Assumptions!$E$45)</f>
        <v>19.767123287671232</v>
      </c>
      <c r="U98" s="191">
        <f>(AG98-I98)/365</f>
        <v>19.383561643835616</v>
      </c>
      <c r="V98" s="277">
        <f>((O98*(1-(1+Assumptions!$G$40)^(-1*(G98-Q98))))/Assumptions!$G$40)-((O98*(1-(1+Assumptions!$G$40)^(-1*(T98))))/Assumptions!$G$40)</f>
        <v>41254.292231411702</v>
      </c>
      <c r="W98" s="277">
        <f>((O98*(1-(1+Assumptions!$G$46)^(-1*(G98-Q98))))/Assumptions!$G$46)-((O98*(1-(1+Assumptions!$G$46)^(-1*(T98))))/Assumptions!$G$46)</f>
        <v>91248.43824566243</v>
      </c>
      <c r="X98" s="121">
        <f>IF($P98&gt;29.999,(VLOOKUP($N98,Assumptions!$B$24:$J$34,7,FALSE)),(VLOOKUP($N98,Assumptions!$B$24:$J$34,7,FALSE)/30*$P98))</f>
        <v>10984.018264840182</v>
      </c>
      <c r="Y98" s="121">
        <f>IF($P98&gt;29.999,(VLOOKUP($N98,Assumptions!$B$24:$J$34,8,FALSE)),(VLOOKUP($N98,Assumptions!$B$24:$J$34,8,FALSE)/30*$P98))</f>
        <v>13568.493150684932</v>
      </c>
      <c r="Z98" s="121">
        <f>IF($P98&gt;29.999,(VLOOKUP($N98,Assumptions!$B$24:$J$34,9,FALSE)),(VLOOKUP($N98,Assumptions!$B$24:$J$34,9,FALSE)/30*$P98))</f>
        <v>10984.018264840182</v>
      </c>
      <c r="AA98" s="148">
        <f>((X98*(1-(1+Assumptions!$H$40)^(-1*(G98-Q98))))/Assumptions!$H$40)-((X98*(1-(1+Assumptions!$H$40)^(-1*(T98))))/Assumptions!$H$40)</f>
        <v>19481.193553722158</v>
      </c>
      <c r="AB98" s="148">
        <f>((Y98*(1-(1+Assumptions!$I$40)^(-1*(G98-Q98))))/Assumptions!$I$40)-((Y98*(1-(1+Assumptions!$I$40)^(-1*(T98))))/Assumptions!$I$40)</f>
        <v>24065.003801656814</v>
      </c>
      <c r="AC98" s="148">
        <f>((Z98*(1-(1+Assumptions!$J$40)^(-1*(G98-Q98))))/Assumptions!$J$40)-((Z98*(1-(1+Assumptions!$J$40)^(-1*(T98))))/Assumptions!$J$40)</f>
        <v>19481.193553722158</v>
      </c>
      <c r="AD98" s="148">
        <f>((X98*(1-(1+Assumptions!$H$46)^(-1*(G98-Q98))))/Assumptions!$H$46)-((X98*(1-(1+Assumptions!$H$46)^(-1*(T98))))/Assumptions!$H$46)</f>
        <v>43089.540282673959</v>
      </c>
      <c r="AE98" s="148">
        <f>((Y98*(1-(1+Assumptions!$I$46)^(-1*(G98-Q98))))/Assumptions!$I$46)-((Y98*(1-(1+Assumptions!$I$46)^(-1*(T98))))/Assumptions!$I$46)</f>
        <v>53228.255643303099</v>
      </c>
      <c r="AF98" s="148">
        <f>((Z98*(1-(1+Assumptions!$J$46)^(-1*(G98-Q98))))/Assumptions!$J$46)-((Z98*(1-(1+Assumptions!$J$46)^(-1*(T98))))/Assumptions!$J$46)</f>
        <v>43089.540282673959</v>
      </c>
      <c r="AG98" s="145">
        <v>37134</v>
      </c>
      <c r="AH98" s="148">
        <f>((AI98*(1-(1+Assumptions!$M$40)^(-1*(G98-Q98))))/Assumptions!$M$40)-((AI98*(1-(1+Assumptions!$M$40)^(-1*(T98))))/Assumptions!$M$40)</f>
        <v>106807.34221547266</v>
      </c>
      <c r="AI98" s="409">
        <f>IF(P98&gt;29.999,(VLOOKUP(N98,Assumptions!$B$24:$M$34,12,FALSE)),(VLOOKUP(N98,Assumptions!$B$24:$M$34,12,FALSE)/30*P98))</f>
        <v>23260.273972602739</v>
      </c>
      <c r="AJ98" s="148">
        <f>((AI98*(1-(1+Assumptions!$L$40)^(-1*(G98-Q98))))/Assumptions!$L$40)-((AI98*(1-(1+Assumptions!$L$40)^(-1*(T98))))/Assumptions!$L$40)</f>
        <v>41254.292231411702</v>
      </c>
      <c r="AK98" s="148">
        <f>((AI98*(1-(1+Assumptions!$L$46)^(-1*(G98-Q98))))/Assumptions!$L$46)-((AI98*(1-(1+Assumptions!$L$46)^(-1*(T98))))/Assumptions!$L$46)</f>
        <v>91248.43824566243</v>
      </c>
      <c r="AL98" s="148">
        <f>IF(Q98&gt;Assumptions!$L$3,W98,0)</f>
        <v>0</v>
      </c>
      <c r="AM98" s="3"/>
      <c r="AN98" s="3"/>
      <c r="AO98" s="114"/>
      <c r="AP98" s="116"/>
      <c r="AQ98" s="114"/>
      <c r="AR98" s="116"/>
    </row>
    <row r="99" spans="1:44" x14ac:dyDescent="0.2">
      <c r="A99" s="3" t="s">
        <v>106</v>
      </c>
      <c r="B99" s="189">
        <f>B98+1</f>
        <v>84</v>
      </c>
      <c r="D99" s="256" t="s">
        <v>419</v>
      </c>
      <c r="F99" s="36" t="s">
        <v>5</v>
      </c>
      <c r="G99" s="5">
        <f>IF(F99="f",Assumptions!$E$39,Assumptions!$E$38)</f>
        <v>89.3</v>
      </c>
      <c r="H99" s="114">
        <v>16422</v>
      </c>
      <c r="I99" s="116">
        <v>26633</v>
      </c>
      <c r="J99" s="22"/>
      <c r="K99" s="22"/>
      <c r="L99" s="91">
        <f>(((H99+(Assumptions!$E$43*365))-I99))/365</f>
        <v>37.024657534246572</v>
      </c>
      <c r="M99" s="240"/>
      <c r="N99" s="125" t="s">
        <v>225</v>
      </c>
      <c r="O99" s="121">
        <f>IF($P99&gt;29.999,(VLOOKUP($N99,Assumptions!$B$24:$J$34,6,FALSE)),(VLOOKUP($N99,Assumptions!$B$24:$J$34,6,FALSE)/30*$P99))</f>
        <v>34523.835616438351</v>
      </c>
      <c r="P99" s="7">
        <f>(AG99-I99)/365</f>
        <v>28.769863013698629</v>
      </c>
      <c r="Q99" s="39">
        <f>(AG99-H99)/365</f>
        <v>56.745205479452054</v>
      </c>
      <c r="R99" s="23"/>
      <c r="T99" s="81">
        <f>IF(Q99&lt;=Assumptions!$E$43,Assumptions!$E$43-Q99,Assumptions!$E$45)</f>
        <v>8.2547945205479465</v>
      </c>
      <c r="U99" s="191">
        <f>(AG99-I99)/365</f>
        <v>28.769863013698629</v>
      </c>
      <c r="V99" s="277">
        <f>((O99*(1-(1+Assumptions!$G$40)^(-1*(G99-Q99))))/Assumptions!$G$40)-((O99*(1-(1+Assumptions!$G$40)^(-1*(T99))))/Assumptions!$G$40)</f>
        <v>165135.14184881729</v>
      </c>
      <c r="W99" s="277">
        <f>((O99*(1-(1+Assumptions!$G$46)^(-1*(G99-Q99))))/Assumptions!$G$46)-((O99*(1-(1+Assumptions!$G$46)^(-1*(T99))))/Assumptions!$G$46)</f>
        <v>266617.30631743267</v>
      </c>
      <c r="X99" s="121">
        <f>IF($P99&gt;29.999,(VLOOKUP($N99,Assumptions!$B$24:$J$34,7,FALSE)),(VLOOKUP($N99,Assumptions!$B$24:$J$34,7,FALSE)/30*$P99))</f>
        <v>27331.369863013697</v>
      </c>
      <c r="Y99" s="121">
        <f>IF($P99&gt;29.999,(VLOOKUP($N99,Assumptions!$B$24:$J$34,8,FALSE)),(VLOOKUP($N99,Assumptions!$B$24:$J$34,8,FALSE)/30*$P99))</f>
        <v>34523.835616438351</v>
      </c>
      <c r="Z99" s="121">
        <f>IF($P99&gt;29.999,(VLOOKUP($N99,Assumptions!$B$24:$J$34,9,FALSE)),(VLOOKUP($N99,Assumptions!$B$24:$J$34,9,FALSE)/30*$P99))</f>
        <v>26851.87214611872</v>
      </c>
      <c r="AA99" s="148">
        <f>((X99*(1-(1+Assumptions!$H$40)^(-1*(G99-Q99))))/Assumptions!$H$40)-((X99*(1-(1+Assumptions!$H$40)^(-1*(T99))))/Assumptions!$H$40)</f>
        <v>130731.98729698034</v>
      </c>
      <c r="AB99" s="148">
        <f>((Y99*(1-(1+Assumptions!$I$40)^(-1*(G99-Q99))))/Assumptions!$I$40)-((Y99*(1-(1+Assumptions!$I$40)^(-1*(T99))))/Assumptions!$I$40)</f>
        <v>165135.14184881729</v>
      </c>
      <c r="AC99" s="148">
        <f>((Z99*(1-(1+Assumptions!$J$40)^(-1*(G99-Q99))))/Assumptions!$J$40)-((Z99*(1-(1+Assumptions!$J$40)^(-1*(T99))))/Assumptions!$J$40)</f>
        <v>128438.4436601912</v>
      </c>
      <c r="AD99" s="148">
        <f>((X99*(1-(1+Assumptions!$H$46)^(-1*(G99-Q99))))/Assumptions!$H$46)-((X99*(1-(1+Assumptions!$H$46)^(-1*(T99))))/Assumptions!$H$46)</f>
        <v>211072.03416796759</v>
      </c>
      <c r="AE99" s="148">
        <f>((Y99*(1-(1+Assumptions!$I$46)^(-1*(G99-Q99))))/Assumptions!$I$46)-((Y99*(1-(1+Assumptions!$I$46)^(-1*(T99))))/Assumptions!$I$46)</f>
        <v>266617.30631743267</v>
      </c>
      <c r="AF99" s="148">
        <f>((Z99*(1-(1+Assumptions!$J$46)^(-1*(G99-Q99))))/Assumptions!$J$46)-((Z99*(1-(1+Assumptions!$J$46)^(-1*(T99))))/Assumptions!$J$46)</f>
        <v>207369.01602466992</v>
      </c>
      <c r="AG99" s="145">
        <v>37134</v>
      </c>
      <c r="AH99" s="148">
        <f>((AI99*(1-(1+Assumptions!$M$40)^(-1*(G99-Q99))))/Assumptions!$M$40)-((AI99*(1-(1+Assumptions!$M$40)^(-1*(T99))))/Assumptions!$M$40)</f>
        <v>293626.52304676978</v>
      </c>
      <c r="AI99" s="409">
        <f>IF(P99&gt;29.999,(VLOOKUP(N99,Assumptions!$B$24:$M$34,12,FALSE)),(VLOOKUP(N99,Assumptions!$B$24:$M$34,12,FALSE)/30*P99))</f>
        <v>34523.835616438351</v>
      </c>
      <c r="AJ99" s="148">
        <f>((AI99*(1-(1+Assumptions!$L$40)^(-1*(G99-Q99))))/Assumptions!$L$40)-((AI99*(1-(1+Assumptions!$L$40)^(-1*(T99))))/Assumptions!$L$40)</f>
        <v>165135.14184881729</v>
      </c>
      <c r="AK99" s="148">
        <f>((AI99*(1-(1+Assumptions!$L$46)^(-1*(G99-Q99))))/Assumptions!$L$46)-((AI99*(1-(1+Assumptions!$L$46)^(-1*(T99))))/Assumptions!$L$46)</f>
        <v>266617.30631743267</v>
      </c>
      <c r="AL99" s="148">
        <f>IF(Q99&gt;Assumptions!$L$3,W99,0)</f>
        <v>266617.30631743267</v>
      </c>
      <c r="AM99" s="3"/>
      <c r="AN99" s="3"/>
      <c r="AO99" s="114"/>
      <c r="AP99" s="116"/>
      <c r="AQ99" s="114"/>
      <c r="AR99" s="116"/>
    </row>
    <row r="100" spans="1:44" x14ac:dyDescent="0.2">
      <c r="B100" s="189"/>
      <c r="F100" s="34"/>
      <c r="G100" s="8"/>
      <c r="H100" s="34"/>
      <c r="I100" s="34"/>
      <c r="J100" s="8"/>
      <c r="K100" s="8"/>
      <c r="L100" s="92"/>
      <c r="M100" s="241"/>
      <c r="N100" s="126"/>
      <c r="O100" s="84"/>
      <c r="P100" s="8"/>
      <c r="Q100" s="41"/>
      <c r="R100" s="8"/>
      <c r="AG100" s="145"/>
      <c r="AM100" s="3"/>
      <c r="AN100" s="3"/>
      <c r="AO100" s="34"/>
      <c r="AP100" s="34"/>
      <c r="AQ100" s="114"/>
      <c r="AR100" s="116"/>
    </row>
    <row r="101" spans="1:44" x14ac:dyDescent="0.2">
      <c r="B101" s="189"/>
      <c r="D101" s="10" t="s">
        <v>531</v>
      </c>
      <c r="F101" s="36"/>
      <c r="G101" s="5"/>
      <c r="H101" s="116"/>
      <c r="I101" s="116"/>
      <c r="J101" s="6"/>
      <c r="K101" s="6"/>
      <c r="L101" s="93"/>
      <c r="M101" s="242"/>
      <c r="N101" s="125"/>
      <c r="O101" s="85"/>
      <c r="P101" s="7"/>
      <c r="Q101" s="39"/>
      <c r="R101" s="7"/>
      <c r="AG101" s="145"/>
      <c r="AM101" s="3"/>
      <c r="AN101" s="3"/>
      <c r="AO101" s="116"/>
      <c r="AP101" s="116"/>
      <c r="AQ101" s="114"/>
      <c r="AR101" s="116"/>
    </row>
    <row r="102" spans="1:44" x14ac:dyDescent="0.2">
      <c r="A102" s="3" t="s">
        <v>165</v>
      </c>
      <c r="B102" s="3" t="s">
        <v>113</v>
      </c>
      <c r="D102" s="254" t="s">
        <v>0</v>
      </c>
      <c r="E102" s="254" t="s">
        <v>110</v>
      </c>
      <c r="F102" s="106" t="s">
        <v>4</v>
      </c>
      <c r="G102" s="185"/>
      <c r="H102" s="113"/>
      <c r="I102" s="106"/>
      <c r="J102" s="4" t="s">
        <v>12</v>
      </c>
      <c r="K102" s="4" t="s">
        <v>112</v>
      </c>
      <c r="L102" s="94"/>
      <c r="M102" s="243" t="s">
        <v>11</v>
      </c>
      <c r="N102" s="128"/>
      <c r="O102" s="82"/>
      <c r="P102" s="185" t="s">
        <v>3</v>
      </c>
      <c r="Q102" s="192" t="s">
        <v>127</v>
      </c>
      <c r="R102" s="185" t="s">
        <v>128</v>
      </c>
      <c r="AG102" s="145"/>
      <c r="AM102" s="186" t="s">
        <v>111</v>
      </c>
      <c r="AN102" s="3"/>
      <c r="AO102" s="113"/>
      <c r="AP102" s="106"/>
      <c r="AQ102" s="114"/>
      <c r="AR102" s="116"/>
    </row>
    <row r="103" spans="1:44" x14ac:dyDescent="0.2">
      <c r="B103" s="189"/>
      <c r="D103" s="255"/>
      <c r="E103" s="255"/>
      <c r="F103" s="36"/>
      <c r="G103" s="5"/>
      <c r="H103" s="114"/>
      <c r="I103" s="116"/>
      <c r="J103" s="22"/>
      <c r="K103" s="22"/>
      <c r="L103" s="91">
        <f>(((H103+(Assumptions!$E$43*365))-I103))/365</f>
        <v>65</v>
      </c>
      <c r="M103" s="240"/>
      <c r="N103" s="125"/>
      <c r="O103" s="121"/>
      <c r="P103" s="7"/>
      <c r="Q103" s="39"/>
      <c r="R103" s="23"/>
      <c r="AG103" s="145"/>
      <c r="AM103" s="193"/>
      <c r="AN103" s="3"/>
      <c r="AO103" s="114"/>
      <c r="AP103" s="116"/>
      <c r="AQ103" s="114"/>
      <c r="AR103" s="116"/>
    </row>
    <row r="104" spans="1:44" s="59" customFormat="1" x14ac:dyDescent="0.2">
      <c r="A104" s="180"/>
      <c r="B104" s="406"/>
      <c r="C104" s="180"/>
      <c r="D104" s="407"/>
      <c r="E104" s="407"/>
      <c r="F104" s="400"/>
      <c r="G104" s="401"/>
      <c r="H104" s="402"/>
      <c r="I104" s="403"/>
      <c r="J104" s="93"/>
      <c r="K104" s="93"/>
      <c r="L104" s="91"/>
      <c r="M104" s="125"/>
      <c r="N104" s="125"/>
      <c r="O104" s="121"/>
      <c r="P104" s="264"/>
      <c r="Q104" s="404"/>
      <c r="R104" s="264"/>
      <c r="S104" s="180"/>
      <c r="T104" s="180"/>
      <c r="U104" s="323"/>
      <c r="V104" s="391"/>
      <c r="W104" s="391"/>
      <c r="X104" s="384"/>
      <c r="Y104" s="384"/>
      <c r="Z104" s="384"/>
      <c r="AA104" s="384"/>
      <c r="AB104" s="384"/>
      <c r="AC104" s="384"/>
      <c r="AD104" s="384"/>
      <c r="AE104" s="384"/>
      <c r="AF104" s="384"/>
      <c r="AG104" s="405"/>
      <c r="AI104" s="410"/>
      <c r="AM104" s="203"/>
      <c r="AN104" s="180"/>
      <c r="AO104" s="402"/>
      <c r="AP104" s="403"/>
      <c r="AQ104" s="114"/>
      <c r="AR104" s="116"/>
    </row>
    <row r="105" spans="1:44" x14ac:dyDescent="0.2">
      <c r="B105" s="189"/>
      <c r="D105" s="10" t="s">
        <v>85</v>
      </c>
      <c r="F105" s="36"/>
      <c r="G105" s="5"/>
      <c r="H105" s="115"/>
      <c r="I105" s="34"/>
      <c r="J105" s="8"/>
      <c r="K105" s="8"/>
      <c r="L105" s="92"/>
      <c r="M105" s="237" t="s">
        <v>86</v>
      </c>
      <c r="O105" s="430" t="s">
        <v>295</v>
      </c>
      <c r="P105" s="431"/>
      <c r="Q105" s="432"/>
      <c r="R105" s="433"/>
      <c r="X105" s="430" t="s">
        <v>295</v>
      </c>
      <c r="Y105" s="430"/>
      <c r="Z105" s="430"/>
      <c r="AA105" s="430"/>
      <c r="AB105" s="430"/>
      <c r="AC105" s="430"/>
      <c r="AG105" s="145"/>
      <c r="AM105" s="3"/>
      <c r="AN105" s="3"/>
      <c r="AO105" s="115"/>
      <c r="AP105" s="34"/>
      <c r="AQ105" s="114"/>
      <c r="AR105" s="116"/>
    </row>
    <row r="106" spans="1:44" x14ac:dyDescent="0.2">
      <c r="A106" s="3" t="s">
        <v>165</v>
      </c>
      <c r="B106" s="3" t="s">
        <v>113</v>
      </c>
      <c r="D106" s="254" t="s">
        <v>0</v>
      </c>
      <c r="E106" s="254" t="s">
        <v>110</v>
      </c>
      <c r="F106" s="106" t="s">
        <v>4</v>
      </c>
      <c r="G106" s="185"/>
      <c r="H106" s="113"/>
      <c r="I106" s="106"/>
      <c r="J106" s="4" t="s">
        <v>12</v>
      </c>
      <c r="K106" s="4" t="s">
        <v>112</v>
      </c>
      <c r="L106" s="94"/>
      <c r="M106" s="243" t="s">
        <v>11</v>
      </c>
      <c r="N106" s="128"/>
      <c r="O106" s="82"/>
      <c r="P106" s="185" t="s">
        <v>3</v>
      </c>
      <c r="Q106" s="192" t="s">
        <v>127</v>
      </c>
      <c r="R106" s="185" t="s">
        <v>128</v>
      </c>
      <c r="AG106" s="145"/>
      <c r="AM106" s="186" t="s">
        <v>111</v>
      </c>
      <c r="AN106" s="3"/>
      <c r="AO106" s="113"/>
      <c r="AP106" s="106"/>
      <c r="AQ106" s="114"/>
      <c r="AR106" s="116"/>
    </row>
    <row r="107" spans="1:44" x14ac:dyDescent="0.2">
      <c r="A107" s="3" t="s">
        <v>107</v>
      </c>
      <c r="B107" s="189">
        <f>B99+1</f>
        <v>85</v>
      </c>
      <c r="D107" s="256" t="s">
        <v>420</v>
      </c>
      <c r="F107" s="36" t="s">
        <v>5</v>
      </c>
      <c r="G107" s="5">
        <f>IF(F107="f",Assumptions!$E$39,Assumptions!$E$38)</f>
        <v>89.3</v>
      </c>
      <c r="H107" s="115">
        <v>23352</v>
      </c>
      <c r="I107" s="116">
        <v>30068</v>
      </c>
      <c r="J107" s="22"/>
      <c r="K107" s="22"/>
      <c r="L107" s="91">
        <f>(((H107+(Assumptions!$E$43*365))-I107))/365</f>
        <v>46.6</v>
      </c>
      <c r="M107" s="99">
        <v>14.58</v>
      </c>
      <c r="N107" s="122"/>
      <c r="O107" s="194">
        <f>$M107*12</f>
        <v>174.96</v>
      </c>
      <c r="P107" s="7">
        <v>0.58330000000000004</v>
      </c>
      <c r="Q107" s="39">
        <f>SUM(AG107-H107)/365</f>
        <v>37.758904109589039</v>
      </c>
      <c r="R107" s="11"/>
      <c r="T107" s="81">
        <f>IF(Q107&lt;=Assumptions!$E$43,Assumptions!$E$43-Q107,Assumptions!$E$45)</f>
        <v>27.241095890410961</v>
      </c>
      <c r="U107" s="191">
        <f>(AG107-I107)/365</f>
        <v>19.358904109589041</v>
      </c>
      <c r="V107" s="277">
        <f>((O107*(1-(1+Assumptions!$G$40)^(-1*(G107-Q107))))/Assumptions!$G$40)-((O107*(1-(1+Assumptions!$G$40)^(-1*(T107))))/Assumptions!$G$40)</f>
        <v>162.95529044525961</v>
      </c>
      <c r="W107" s="277">
        <f>((O107*(1-(1+Assumptions!$G$46)^(-1*(G107-Q107))))/Assumptions!$G$46)-((O107*(1-(1+Assumptions!$G$46)^(-1*(T107))))/Assumptions!$G$46)</f>
        <v>442.15776433622977</v>
      </c>
      <c r="X107" s="279">
        <f t="shared" ref="X107:Z109" si="11">$M107*12</f>
        <v>174.96</v>
      </c>
      <c r="Y107" s="280">
        <f t="shared" si="11"/>
        <v>174.96</v>
      </c>
      <c r="Z107" s="280">
        <f t="shared" si="11"/>
        <v>174.96</v>
      </c>
      <c r="AA107" s="281">
        <f>((X107*(1-(1+Assumptions!$H$40)^(-1*(G107-Q107))))/Assumptions!$H$40)-((X107*(1-(1+Assumptions!$H$40)^(-1*(T107))))/Assumptions!$H$40)</f>
        <v>162.95529044525961</v>
      </c>
      <c r="AB107" s="281">
        <f>((Y107*(1-(1+Assumptions!$I$40)^(-1*(G107-Q107))))/Assumptions!$I$40)-((Y107*(1-(1+Assumptions!$I$40)^(-1*(T107))))/Assumptions!$I$40)</f>
        <v>162.95529044525961</v>
      </c>
      <c r="AC107" s="282">
        <f>((Z107*(1-(1+Assumptions!$J$40)^(-1*(G107-Q107))))/Assumptions!$J$40)-((Z107*(1-(1+Assumptions!$J$40)^(-1*(T107))))/Assumptions!$J$40)</f>
        <v>162.95529044525961</v>
      </c>
      <c r="AD107" s="148">
        <f>((X107*(1-(1+Assumptions!$H$46)^(-1*(G107-Q107))))/Assumptions!$H$46)-((X107*(1-(1+Assumptions!$H$46)^(-1*(T107))))/Assumptions!$H$46)</f>
        <v>442.15776433622977</v>
      </c>
      <c r="AE107" s="148">
        <f>((Y107*(1-(1+Assumptions!$I$46)^(-1*(G107-Q107))))/Assumptions!$I$46)-((Y107*(1-(1+Assumptions!$I$46)^(-1*(T107))))/Assumptions!$I$46)</f>
        <v>442.15776433622977</v>
      </c>
      <c r="AF107" s="148">
        <f>((Z107*(1-(1+Assumptions!$J$46)^(-1*(G107-Q107))))/Assumptions!$J$46)-((Z107*(1-(1+Assumptions!$J$46)^(-1*(T107))))/Assumptions!$J$46)</f>
        <v>442.15776433622977</v>
      </c>
      <c r="AG107" s="145">
        <v>37134</v>
      </c>
      <c r="AH107" s="148">
        <f>((AI107*(1-(1+Assumptions!$M$40)^(-1*(G107-Q107))))/Assumptions!$M$40)-((AI107*(1-(1+Assumptions!$M$40)^(-1*(T107))))/Assumptions!$M$40)</f>
        <v>538.43936852813704</v>
      </c>
      <c r="AI107" s="411">
        <f>O107</f>
        <v>174.96</v>
      </c>
      <c r="AJ107" s="148">
        <f>((AI107*(1-(1+Assumptions!$L$40)^(-1*(G107-Q107))))/Assumptions!$L$40)-((AI107*(1-(1+Assumptions!$L$40)^(-1*(T107))))/Assumptions!$L$40)</f>
        <v>162.95529044525961</v>
      </c>
      <c r="AK107" s="148">
        <f>((AI107*(1-(1+Assumptions!$L$46)^(-1*(G107-Q107))))/Assumptions!$L$46)-((AI107*(1-(1+Assumptions!$L$46)^(-1*(T107))))/Assumptions!$L$46)</f>
        <v>442.15776433622977</v>
      </c>
      <c r="AL107" s="148">
        <f>IF(Q107&gt;Assumptions!$L$3,W107,0)</f>
        <v>0</v>
      </c>
      <c r="AM107" s="3"/>
      <c r="AN107" s="3"/>
      <c r="AO107" s="115"/>
      <c r="AP107" s="116"/>
      <c r="AQ107" s="114"/>
      <c r="AR107" s="116"/>
    </row>
    <row r="108" spans="1:44" x14ac:dyDescent="0.2">
      <c r="A108" s="3" t="s">
        <v>107</v>
      </c>
      <c r="B108" s="189">
        <f>B107+1</f>
        <v>86</v>
      </c>
      <c r="D108" s="256" t="s">
        <v>421</v>
      </c>
      <c r="F108" s="36" t="s">
        <v>5</v>
      </c>
      <c r="G108" s="5">
        <f>IF(F108="f",Assumptions!$E$39,Assumptions!$E$38)</f>
        <v>89.3</v>
      </c>
      <c r="H108" s="115">
        <v>14453</v>
      </c>
      <c r="I108" s="116">
        <v>26428</v>
      </c>
      <c r="J108" s="22"/>
      <c r="K108" s="22"/>
      <c r="L108" s="91">
        <f>(((H108+(Assumptions!$E$43*365))-I108))/365</f>
        <v>32.19178082191781</v>
      </c>
      <c r="M108" s="99">
        <v>262.5</v>
      </c>
      <c r="N108" s="122"/>
      <c r="O108" s="195">
        <f>M108*12</f>
        <v>3150</v>
      </c>
      <c r="P108" s="7">
        <v>10.5</v>
      </c>
      <c r="Q108" s="39">
        <f>SUM(AG108-H108)/365</f>
        <v>62.139726027397259</v>
      </c>
      <c r="R108" s="11"/>
      <c r="T108" s="81">
        <f>IF(Q108&lt;=Assumptions!$E$43,Assumptions!$E$43-Q108,Assumptions!$E$45)</f>
        <v>2.8602739726027409</v>
      </c>
      <c r="U108" s="191">
        <f>(AG108-I108)/365</f>
        <v>29.331506849315069</v>
      </c>
      <c r="V108" s="277">
        <f>((O108*(1-(1+Assumptions!$G$40)^(-1*(G108-Q108))))/Assumptions!$G$40)-((O108*(1-(1+Assumptions!$G$40)^(-1*(T108))))/Assumptions!$G$40)</f>
        <v>23984.40945555811</v>
      </c>
      <c r="W108" s="277">
        <f>((O108*(1-(1+Assumptions!$G$46)^(-1*(G108-Q108))))/Assumptions!$G$46)-((O108*(1-(1+Assumptions!$G$46)^(-1*(T108))))/Assumptions!$G$46)</f>
        <v>33413.241081336302</v>
      </c>
      <c r="X108" s="283">
        <f t="shared" si="11"/>
        <v>3150</v>
      </c>
      <c r="Y108" s="181">
        <f t="shared" si="11"/>
        <v>3150</v>
      </c>
      <c r="Z108" s="181">
        <f t="shared" si="11"/>
        <v>3150</v>
      </c>
      <c r="AA108" s="284">
        <f>((X108*(1-(1+Assumptions!$H$40)^(-1*(G108-Q108))))/Assumptions!$H$40)-((X108*(1-(1+Assumptions!$H$40)^(-1*(T108))))/Assumptions!$H$40)</f>
        <v>23984.40945555811</v>
      </c>
      <c r="AB108" s="284">
        <f>((Y108*(1-(1+Assumptions!$I$40)^(-1*(G108-Q108))))/Assumptions!$I$40)-((Y108*(1-(1+Assumptions!$I$40)^(-1*(T108))))/Assumptions!$I$40)</f>
        <v>23984.40945555811</v>
      </c>
      <c r="AC108" s="285">
        <f>((Z108*(1-(1+Assumptions!$J$40)^(-1*(G108-Q108))))/Assumptions!$J$40)-((Z108*(1-(1+Assumptions!$J$40)^(-1*(T108))))/Assumptions!$J$40)</f>
        <v>23984.40945555811</v>
      </c>
      <c r="AD108" s="148">
        <f>((X108*(1-(1+Assumptions!$H$46)^(-1*(G108-Q108))))/Assumptions!$H$46)-((X108*(1-(1+Assumptions!$H$46)^(-1*(T108))))/Assumptions!$H$46)</f>
        <v>33413.241081336302</v>
      </c>
      <c r="AE108" s="148">
        <f>((Y108*(1-(1+Assumptions!$I$46)^(-1*(G108-Q108))))/Assumptions!$I$46)-((Y108*(1-(1+Assumptions!$I$46)^(-1*(T108))))/Assumptions!$I$46)</f>
        <v>33413.241081336302</v>
      </c>
      <c r="AF108" s="148">
        <f>((Z108*(1-(1+Assumptions!$J$46)^(-1*(G108-Q108))))/Assumptions!$J$46)-((Z108*(1-(1+Assumptions!$J$46)^(-1*(T108))))/Assumptions!$J$46)</f>
        <v>33413.241081336302</v>
      </c>
      <c r="AG108" s="145">
        <v>37134</v>
      </c>
      <c r="AH108" s="148">
        <f>((AI108*(1-(1+Assumptions!$M$40)^(-1*(G108-Q108))))/Assumptions!$M$40)-((AI108*(1-(1+Assumptions!$M$40)^(-1*(T108))))/Assumptions!$M$40)</f>
        <v>35762.071528578315</v>
      </c>
      <c r="AI108" s="412">
        <f>O108</f>
        <v>3150</v>
      </c>
      <c r="AJ108" s="148">
        <f>((AI108*(1-(1+Assumptions!$L$40)^(-1*(G108-Q108))))/Assumptions!$L$40)-((AI108*(1-(1+Assumptions!$L$40)^(-1*(T108))))/Assumptions!$L$40)</f>
        <v>23984.40945555811</v>
      </c>
      <c r="AK108" s="148">
        <f>((AI108*(1-(1+Assumptions!$L$46)^(-1*(G108-Q108))))/Assumptions!$L$46)-((AI108*(1-(1+Assumptions!$L$46)^(-1*(T108))))/Assumptions!$L$46)</f>
        <v>33413.241081336302</v>
      </c>
      <c r="AL108" s="148">
        <f>IF(Q108&gt;Assumptions!$L$3,W108,0)</f>
        <v>33413.241081336302</v>
      </c>
      <c r="AM108" s="3"/>
      <c r="AN108" s="3"/>
      <c r="AO108" s="115"/>
      <c r="AP108" s="116"/>
      <c r="AQ108" s="114"/>
      <c r="AR108" s="116"/>
    </row>
    <row r="109" spans="1:44" x14ac:dyDescent="0.2">
      <c r="A109" s="3" t="s">
        <v>107</v>
      </c>
      <c r="B109" s="189">
        <f>B108+1</f>
        <v>87</v>
      </c>
      <c r="D109" s="256" t="s">
        <v>422</v>
      </c>
      <c r="F109" s="36" t="s">
        <v>6</v>
      </c>
      <c r="G109" s="5">
        <f>IF(F109="f",Assumptions!$E$39,Assumptions!$E$38)</f>
        <v>81.8</v>
      </c>
      <c r="H109" s="115">
        <v>12854</v>
      </c>
      <c r="I109" s="116">
        <v>28071</v>
      </c>
      <c r="J109" s="22"/>
      <c r="K109" s="22"/>
      <c r="L109" s="91">
        <f>(((H109+(Assumptions!$E$43*365))-I109))/365</f>
        <v>23.30958904109589</v>
      </c>
      <c r="M109" s="99">
        <v>150</v>
      </c>
      <c r="N109" s="122"/>
      <c r="O109" s="196">
        <f>M109*12</f>
        <v>1800</v>
      </c>
      <c r="P109" s="5">
        <v>6</v>
      </c>
      <c r="Q109" s="39">
        <f>SUM(AG109-H109)/365</f>
        <v>66.520547945205479</v>
      </c>
      <c r="R109" s="11"/>
      <c r="T109" s="81">
        <f>IF(Q109&lt;=Assumptions!$E$43,Assumptions!$E$43-Q109,Assumptions!$E$45)</f>
        <v>3</v>
      </c>
      <c r="U109" s="191">
        <f>(AG109-I109)/365</f>
        <v>24.830136986301369</v>
      </c>
      <c r="V109" s="277">
        <f>((O109*(1-(1+Assumptions!$G$40)^(-1*(G109-Q109))))/Assumptions!$G$40)-((O109*(1-(1+Assumptions!$G$40)^(-1*(T109))))/Assumptions!$G$40)</f>
        <v>10083.560681894414</v>
      </c>
      <c r="W109" s="277">
        <f>((O109*(1-(1+Assumptions!$G$46)^(-1*(G109-Q109))))/Assumptions!$G$46)-((O109*(1-(1+Assumptions!$G$46)^(-1*(T109))))/Assumptions!$G$46)</f>
        <v>12808.032263653415</v>
      </c>
      <c r="X109" s="283">
        <f t="shared" si="11"/>
        <v>1800</v>
      </c>
      <c r="Y109" s="181">
        <f t="shared" si="11"/>
        <v>1800</v>
      </c>
      <c r="Z109" s="181">
        <f t="shared" si="11"/>
        <v>1800</v>
      </c>
      <c r="AA109" s="284">
        <f>((X109*(1-(1+Assumptions!$H$40)^(-1*(G109-Q109))))/Assumptions!$H$40)-((X109*(1-(1+Assumptions!$H$40)^(-1*(T109))))/Assumptions!$H$40)</f>
        <v>10083.560681894414</v>
      </c>
      <c r="AB109" s="284">
        <f>((Y109*(1-(1+Assumptions!$I$40)^(-1*(G109-Q109))))/Assumptions!$I$40)-((Y109*(1-(1+Assumptions!$I$40)^(-1*(T109))))/Assumptions!$I$40)</f>
        <v>10083.560681894414</v>
      </c>
      <c r="AC109" s="285">
        <f>((Z109*(1-(1+Assumptions!$J$40)^(-1*(G109-Q109))))/Assumptions!$J$40)-((Z109*(1-(1+Assumptions!$J$40)^(-1*(T109))))/Assumptions!$J$40)</f>
        <v>10083.560681894414</v>
      </c>
      <c r="AD109" s="148">
        <f>((X109*(1-(1+Assumptions!$H$46)^(-1*(G109-Q109))))/Assumptions!$H$46)-((X109*(1-(1+Assumptions!$H$46)^(-1*(T109))))/Assumptions!$H$46)</f>
        <v>12808.032263653415</v>
      </c>
      <c r="AE109" s="148">
        <f>((Y109*(1-(1+Assumptions!$I$46)^(-1*(G109-Q109))))/Assumptions!$I$46)-((Y109*(1-(1+Assumptions!$I$46)^(-1*(T109))))/Assumptions!$I$46)</f>
        <v>12808.032263653415</v>
      </c>
      <c r="AF109" s="148">
        <f>((Z109*(1-(1+Assumptions!$J$46)^(-1*(G109-Q109))))/Assumptions!$J$46)-((Z109*(1-(1+Assumptions!$J$46)^(-1*(T109))))/Assumptions!$J$46)</f>
        <v>12808.032263653415</v>
      </c>
      <c r="AG109" s="145">
        <v>37134</v>
      </c>
      <c r="AH109" s="148">
        <f>((AI109*(1-(1+Assumptions!$M$40)^(-1*(G109-Q109))))/Assumptions!$M$40)-((AI109*(1-(1+Assumptions!$M$40)^(-1*(T109))))/Assumptions!$M$40)</f>
        <v>13429.071363813857</v>
      </c>
      <c r="AI109" s="413">
        <f>O109</f>
        <v>1800</v>
      </c>
      <c r="AJ109" s="148">
        <f>((AI109*(1-(1+Assumptions!$L$40)^(-1*(G109-Q109))))/Assumptions!$L$40)-((AI109*(1-(1+Assumptions!$L$40)^(-1*(T109))))/Assumptions!$L$40)</f>
        <v>10083.560681894414</v>
      </c>
      <c r="AK109" s="148">
        <f>((AI109*(1-(1+Assumptions!$L$46)^(-1*(G109-Q109))))/Assumptions!$L$46)-((AI109*(1-(1+Assumptions!$L$46)^(-1*(T109))))/Assumptions!$L$46)</f>
        <v>12808.032263653415</v>
      </c>
      <c r="AL109" s="148">
        <f>IF(Q109&gt;Assumptions!$L$3,W109,0)</f>
        <v>12808.032263653415</v>
      </c>
      <c r="AM109" s="3"/>
      <c r="AN109" s="3"/>
      <c r="AO109" s="115"/>
      <c r="AP109" s="116"/>
      <c r="AQ109" s="114"/>
      <c r="AR109" s="116"/>
    </row>
    <row r="110" spans="1:44" x14ac:dyDescent="0.2">
      <c r="H110" s="108"/>
      <c r="I110" s="117"/>
      <c r="J110" s="197"/>
      <c r="K110" s="197"/>
      <c r="L110" s="198"/>
      <c r="M110" s="244"/>
      <c r="N110" s="129"/>
      <c r="O110" s="199"/>
      <c r="P110" s="185"/>
      <c r="Q110" s="192"/>
      <c r="R110" s="200"/>
      <c r="S110" s="185"/>
      <c r="X110" s="286"/>
      <c r="Y110" s="287"/>
      <c r="Z110" s="287"/>
      <c r="AA110" s="287"/>
      <c r="AB110" s="287"/>
      <c r="AC110" s="288"/>
      <c r="AD110" s="377"/>
      <c r="AE110" s="377"/>
      <c r="AF110" s="377"/>
      <c r="AG110" s="145"/>
      <c r="AI110" s="414"/>
      <c r="AM110" s="201"/>
      <c r="AN110" s="193"/>
      <c r="AO110" s="108"/>
      <c r="AP110" s="117"/>
      <c r="AQ110" s="114"/>
      <c r="AR110" s="116"/>
    </row>
    <row r="111" spans="1:44" x14ac:dyDescent="0.2">
      <c r="D111" s="12" t="s">
        <v>13</v>
      </c>
      <c r="E111" s="101"/>
      <c r="F111" s="101"/>
      <c r="G111" s="12"/>
      <c r="X111" s="426"/>
      <c r="Y111" s="377"/>
      <c r="Z111" s="377"/>
      <c r="AA111" s="377"/>
      <c r="AB111" s="377"/>
      <c r="AC111" s="427"/>
      <c r="AG111" s="145"/>
      <c r="AI111" s="415"/>
      <c r="AM111" s="3"/>
      <c r="AN111" s="3"/>
      <c r="AO111" s="104"/>
      <c r="AP111" s="104"/>
      <c r="AQ111" s="114"/>
      <c r="AR111" s="116"/>
    </row>
    <row r="112" spans="1:44" x14ac:dyDescent="0.2">
      <c r="A112" s="3" t="s">
        <v>165</v>
      </c>
      <c r="B112" s="3" t="s">
        <v>113</v>
      </c>
      <c r="D112" s="254" t="s">
        <v>0</v>
      </c>
      <c r="E112" s="254" t="s">
        <v>110</v>
      </c>
      <c r="F112" s="106" t="s">
        <v>4</v>
      </c>
      <c r="G112" s="185"/>
      <c r="H112" s="113"/>
      <c r="I112" s="106"/>
      <c r="J112" s="4" t="s">
        <v>12</v>
      </c>
      <c r="K112" s="4" t="s">
        <v>112</v>
      </c>
      <c r="L112" s="94"/>
      <c r="M112" s="243" t="s">
        <v>11</v>
      </c>
      <c r="N112" s="128"/>
      <c r="O112" s="82"/>
      <c r="P112" s="185" t="s">
        <v>3</v>
      </c>
      <c r="Q112" s="192" t="s">
        <v>127</v>
      </c>
      <c r="R112" s="185" t="s">
        <v>128</v>
      </c>
      <c r="X112" s="426"/>
      <c r="Y112" s="377"/>
      <c r="Z112" s="377"/>
      <c r="AA112" s="377"/>
      <c r="AB112" s="377"/>
      <c r="AC112" s="427"/>
      <c r="AG112" s="145"/>
      <c r="AI112" s="416"/>
      <c r="AM112" s="186" t="s">
        <v>111</v>
      </c>
      <c r="AN112" s="3"/>
      <c r="AO112" s="113"/>
      <c r="AP112" s="106"/>
      <c r="AQ112" s="114"/>
      <c r="AR112" s="116"/>
    </row>
    <row r="113" spans="1:44" x14ac:dyDescent="0.2">
      <c r="B113" s="25"/>
      <c r="C113" s="4" t="s">
        <v>8</v>
      </c>
      <c r="D113" s="257" t="s">
        <v>532</v>
      </c>
      <c r="E113" s="257"/>
      <c r="F113" s="107"/>
      <c r="G113" s="4"/>
      <c r="H113" s="107"/>
      <c r="I113" s="107"/>
      <c r="J113" s="4" t="s">
        <v>12</v>
      </c>
      <c r="K113" s="4"/>
      <c r="L113" s="94"/>
      <c r="M113" s="243" t="s">
        <v>11</v>
      </c>
      <c r="N113" s="128"/>
      <c r="O113" s="82"/>
      <c r="X113" s="296"/>
      <c r="Y113" s="297"/>
      <c r="Z113" s="297"/>
      <c r="AA113" s="297"/>
      <c r="AB113" s="297"/>
      <c r="AC113" s="298"/>
      <c r="AD113" s="377"/>
      <c r="AE113" s="377"/>
      <c r="AF113" s="377"/>
      <c r="AG113" s="145"/>
      <c r="AI113" s="416"/>
      <c r="AM113" s="3"/>
      <c r="AN113" s="3"/>
      <c r="AO113" s="107"/>
      <c r="AP113" s="107"/>
      <c r="AQ113" s="114"/>
      <c r="AR113" s="116"/>
    </row>
    <row r="114" spans="1:44" x14ac:dyDescent="0.2">
      <c r="A114" s="3" t="s">
        <v>107</v>
      </c>
      <c r="B114" s="26">
        <f>B109+1</f>
        <v>88</v>
      </c>
      <c r="C114" s="4"/>
      <c r="D114" s="257" t="s">
        <v>423</v>
      </c>
      <c r="E114" s="257"/>
      <c r="F114" s="107" t="s">
        <v>210</v>
      </c>
      <c r="G114" s="5">
        <f>IF(F114="f",Assumptions!$E$39,Assumptions!$E$38)</f>
        <v>81.8</v>
      </c>
      <c r="H114" s="112">
        <v>20261</v>
      </c>
      <c r="I114" s="112">
        <v>28778</v>
      </c>
      <c r="J114" s="27">
        <f>DATE(91,9,1)</f>
        <v>33482</v>
      </c>
      <c r="K114" s="28"/>
      <c r="L114" s="95"/>
      <c r="M114" s="245">
        <v>726.85</v>
      </c>
      <c r="N114" s="130"/>
      <c r="O114" s="194">
        <f t="shared" ref="O114:O127" si="12">M114*12</f>
        <v>8722.2000000000007</v>
      </c>
      <c r="P114" s="40">
        <f t="shared" ref="P114:P127" si="13">(J114-I114)/365</f>
        <v>12.887671232876713</v>
      </c>
      <c r="Q114" s="39">
        <f t="shared" ref="Q114:Q127" si="14">SUM(AG114-H114)/365</f>
        <v>46.227397260273975</v>
      </c>
      <c r="T114" s="81">
        <f>IF(Q114&lt;=Assumptions!$E$43,Assumptions!$E$43-Q114,Assumptions!$E$45)</f>
        <v>18.772602739726025</v>
      </c>
      <c r="U114" s="191">
        <f t="shared" ref="U114:U127" si="15">(AG114-I114)/365</f>
        <v>22.893150684931506</v>
      </c>
      <c r="V114" s="277">
        <f>((O114*(1-(1+Assumptions!$G$40)^(-1*(G114-Q114))))/Assumptions!$G$40)-((O114*(1-(1+Assumptions!$G$40)^(-1*(T114))))/Assumptions!$G$40)</f>
        <v>14702.8282374884</v>
      </c>
      <c r="W114" s="277">
        <f>((O114*(1-(1+Assumptions!$G$46)^(-1*(G114-Q114))))/Assumptions!$G$46)-((O114*(1-(1+Assumptions!$G$46)^(-1*(T114))))/Assumptions!$G$46)</f>
        <v>29945.400762371137</v>
      </c>
      <c r="X114" s="283">
        <f t="shared" ref="X114:Z127" si="16">$M114*12</f>
        <v>8722.2000000000007</v>
      </c>
      <c r="Y114" s="181">
        <f t="shared" si="16"/>
        <v>8722.2000000000007</v>
      </c>
      <c r="Z114" s="181">
        <f t="shared" si="16"/>
        <v>8722.2000000000007</v>
      </c>
      <c r="AA114" s="284">
        <f>((X114*(1-(1+Assumptions!$H$40)^(-1*(G114-Q114))))/Assumptions!$H$40)-((X114*(1-(1+Assumptions!$H$40)^(-1*(T114))))/Assumptions!$H$40)</f>
        <v>14702.8282374884</v>
      </c>
      <c r="AB114" s="284">
        <f>((Y114*(1-(1+Assumptions!$I$40)^(-1*(G114-Q114))))/Assumptions!$I$40)-((Y114*(1-(1+Assumptions!$I$40)^(-1*(T114))))/Assumptions!$I$40)</f>
        <v>14702.8282374884</v>
      </c>
      <c r="AC114" s="285">
        <f>((Z114*(1-(1+Assumptions!$J$40)^(-1*(G114-Q114))))/Assumptions!$J$40)-((Z114*(1-(1+Assumptions!$J$40)^(-1*(T114))))/Assumptions!$J$40)</f>
        <v>14702.8282374884</v>
      </c>
      <c r="AD114" s="148">
        <f>((X114*(1-(1+Assumptions!$H$46)^(-1*(G114-Q114))))/Assumptions!$H$46)-((X114*(1-(1+Assumptions!$H$46)^(-1*(T114))))/Assumptions!$H$46)</f>
        <v>29945.400762371137</v>
      </c>
      <c r="AE114" s="148">
        <f>((Y114*(1-(1+Assumptions!$I$46)^(-1*(G114-Q114))))/Assumptions!$I$46)-((Y114*(1-(1+Assumptions!$I$46)^(-1*(T114))))/Assumptions!$I$46)</f>
        <v>29945.400762371137</v>
      </c>
      <c r="AF114" s="148">
        <f>((Z114*(1-(1+Assumptions!$J$46)^(-1*(G114-Q114))))/Assumptions!$J$46)-((Z114*(1-(1+Assumptions!$J$46)^(-1*(T114))))/Assumptions!$J$46)</f>
        <v>29945.400762371137</v>
      </c>
      <c r="AG114" s="145">
        <v>37134</v>
      </c>
      <c r="AH114" s="148">
        <f>((AI114*(1-(1+Assumptions!$M$40)^(-1*(G114-Q114))))/Assumptions!$M$40)-((AI114*(1-(1+Assumptions!$M$40)^(-1*(T114))))/Assumptions!$M$40)</f>
        <v>34432.660067063247</v>
      </c>
      <c r="AI114" s="411">
        <f t="shared" ref="AI114:AI127" si="17">O114</f>
        <v>8722.2000000000007</v>
      </c>
      <c r="AJ114" s="148">
        <f>((AI114*(1-(1+Assumptions!$L$40)^(-1*(G114-Q114))))/Assumptions!$L$40)-((AI114*(1-(1+Assumptions!$L$40)^(-1*(T114))))/Assumptions!$L$40)</f>
        <v>14702.8282374884</v>
      </c>
      <c r="AK114" s="148">
        <f>((AI114*(1-(1+Assumptions!$L$46)^(-1*(G114-Q114))))/Assumptions!$L$46)-((AI114*(1-(1+Assumptions!$L$46)^(-1*(T114))))/Assumptions!$L$46)</f>
        <v>29945.400762371137</v>
      </c>
      <c r="AL114" s="148"/>
      <c r="AM114" s="4"/>
      <c r="AN114" s="3"/>
      <c r="AO114" s="112"/>
      <c r="AP114" s="112"/>
      <c r="AQ114" s="114"/>
      <c r="AR114" s="116"/>
    </row>
    <row r="115" spans="1:44" x14ac:dyDescent="0.2">
      <c r="A115" s="3" t="s">
        <v>107</v>
      </c>
      <c r="B115" s="26">
        <f t="shared" ref="B115:B127" si="18">B114+1</f>
        <v>89</v>
      </c>
      <c r="C115" s="4"/>
      <c r="D115" s="257" t="s">
        <v>424</v>
      </c>
      <c r="E115" s="257"/>
      <c r="F115" s="107" t="s">
        <v>211</v>
      </c>
      <c r="G115" s="5">
        <f>IF(F115="f",Assumptions!$E$39,Assumptions!$E$38)</f>
        <v>89.3</v>
      </c>
      <c r="H115" s="112">
        <v>20624</v>
      </c>
      <c r="I115" s="112">
        <v>28463</v>
      </c>
      <c r="J115" s="27">
        <f>DATE(90,9,5)</f>
        <v>33121</v>
      </c>
      <c r="K115" s="28"/>
      <c r="L115" s="95"/>
      <c r="M115" s="245">
        <v>577.77</v>
      </c>
      <c r="N115" s="130"/>
      <c r="O115" s="195">
        <f t="shared" si="12"/>
        <v>6933.24</v>
      </c>
      <c r="P115" s="40">
        <f t="shared" si="13"/>
        <v>12.761643835616438</v>
      </c>
      <c r="Q115" s="39">
        <f t="shared" si="14"/>
        <v>45.232876712328768</v>
      </c>
      <c r="T115" s="81">
        <f>IF(Q115&lt;=Assumptions!$E$43,Assumptions!$E$43-Q115,Assumptions!$E$45)</f>
        <v>19.767123287671232</v>
      </c>
      <c r="U115" s="191">
        <f t="shared" si="15"/>
        <v>23.756164383561643</v>
      </c>
      <c r="V115" s="277">
        <f>((O115*(1-(1+Assumptions!$G$40)^(-1*(G115-Q115))))/Assumptions!$G$40)-((O115*(1-(1+Assumptions!$G$40)^(-1*(T115))))/Assumptions!$G$40)</f>
        <v>12296.755808096234</v>
      </c>
      <c r="W115" s="277">
        <f>((O115*(1-(1+Assumptions!$G$46)^(-1*(G115-Q115))))/Assumptions!$G$46)-((O115*(1-(1+Assumptions!$G$46)^(-1*(T115))))/Assumptions!$G$46)</f>
        <v>27198.618671797434</v>
      </c>
      <c r="X115" s="283">
        <f t="shared" si="16"/>
        <v>6933.24</v>
      </c>
      <c r="Y115" s="181">
        <f t="shared" si="16"/>
        <v>6933.24</v>
      </c>
      <c r="Z115" s="181">
        <f t="shared" si="16"/>
        <v>6933.24</v>
      </c>
      <c r="AA115" s="284">
        <f>((X115*(1-(1+Assumptions!$H$40)^(-1*(G115-Q115))))/Assumptions!$H$40)-((X115*(1-(1+Assumptions!$H$40)^(-1*(T115))))/Assumptions!$H$40)</f>
        <v>12296.755808096234</v>
      </c>
      <c r="AB115" s="284">
        <f>((Y115*(1-(1+Assumptions!$I$40)^(-1*(G115-Q115))))/Assumptions!$I$40)-((Y115*(1-(1+Assumptions!$I$40)^(-1*(T115))))/Assumptions!$I$40)</f>
        <v>12296.755808096234</v>
      </c>
      <c r="AC115" s="285">
        <f>((Z115*(1-(1+Assumptions!$J$40)^(-1*(G115-Q115))))/Assumptions!$J$40)-((Z115*(1-(1+Assumptions!$J$40)^(-1*(T115))))/Assumptions!$J$40)</f>
        <v>12296.755808096234</v>
      </c>
      <c r="AD115" s="148">
        <f>((X115*(1-(1+Assumptions!$H$46)^(-1*(G115-Q115))))/Assumptions!$H$46)-((X115*(1-(1+Assumptions!$H$46)^(-1*(T115))))/Assumptions!$H$46)</f>
        <v>27198.618671797434</v>
      </c>
      <c r="AE115" s="148">
        <f>((Y115*(1-(1+Assumptions!$I$46)^(-1*(G115-Q115))))/Assumptions!$I$46)-((Y115*(1-(1+Assumptions!$I$46)^(-1*(T115))))/Assumptions!$I$46)</f>
        <v>27198.618671797434</v>
      </c>
      <c r="AF115" s="148">
        <f>((Z115*(1-(1+Assumptions!$J$46)^(-1*(G115-Q115))))/Assumptions!$J$46)-((Z115*(1-(1+Assumptions!$J$46)^(-1*(T115))))/Assumptions!$J$46)</f>
        <v>27198.618671797434</v>
      </c>
      <c r="AG115" s="145">
        <v>37134</v>
      </c>
      <c r="AH115" s="148">
        <f>((AI115*(1-(1+Assumptions!$M$40)^(-1*(G115-Q115))))/Assumptions!$M$40)-((AI115*(1-(1+Assumptions!$M$40)^(-1*(T115))))/Assumptions!$M$40)</f>
        <v>31836.294714938893</v>
      </c>
      <c r="AI115" s="412">
        <f t="shared" si="17"/>
        <v>6933.24</v>
      </c>
      <c r="AJ115" s="148">
        <f>((AI115*(1-(1+Assumptions!$L$40)^(-1*(G115-Q115))))/Assumptions!$L$40)-((AI115*(1-(1+Assumptions!$L$40)^(-1*(T115))))/Assumptions!$L$40)</f>
        <v>12296.755808096234</v>
      </c>
      <c r="AK115" s="148">
        <f>((AI115*(1-(1+Assumptions!$L$46)^(-1*(G115-Q115))))/Assumptions!$L$46)-((AI115*(1-(1+Assumptions!$L$46)^(-1*(T115))))/Assumptions!$L$46)</f>
        <v>27198.618671797434</v>
      </c>
      <c r="AL115" s="148"/>
      <c r="AM115" s="4"/>
      <c r="AN115" s="3"/>
      <c r="AO115" s="112"/>
      <c r="AP115" s="112"/>
      <c r="AQ115" s="114"/>
      <c r="AR115" s="116"/>
    </row>
    <row r="116" spans="1:44" x14ac:dyDescent="0.2">
      <c r="A116" s="3" t="s">
        <v>107</v>
      </c>
      <c r="B116" s="26">
        <f t="shared" si="18"/>
        <v>90</v>
      </c>
      <c r="C116" s="4"/>
      <c r="D116" s="257" t="s">
        <v>425</v>
      </c>
      <c r="E116" s="257"/>
      <c r="F116" s="107" t="s">
        <v>210</v>
      </c>
      <c r="G116" s="5">
        <f>IF(F116="f",Assumptions!$E$39,Assumptions!$E$38)</f>
        <v>81.8</v>
      </c>
      <c r="H116" s="112">
        <v>21836</v>
      </c>
      <c r="I116" s="112">
        <v>30592</v>
      </c>
      <c r="J116" s="27">
        <f>DATE(93,9,5)</f>
        <v>34217</v>
      </c>
      <c r="K116" s="28"/>
      <c r="L116" s="95"/>
      <c r="M116" s="245">
        <v>728.24</v>
      </c>
      <c r="N116" s="130"/>
      <c r="O116" s="195">
        <f t="shared" si="12"/>
        <v>8738.880000000001</v>
      </c>
      <c r="P116" s="40">
        <f t="shared" si="13"/>
        <v>9.9315068493150687</v>
      </c>
      <c r="Q116" s="39">
        <f t="shared" si="14"/>
        <v>41.912328767123284</v>
      </c>
      <c r="T116" s="81">
        <f>IF(Q116&lt;=Assumptions!$E$43,Assumptions!$E$43-Q116,Assumptions!$E$45)</f>
        <v>23.087671232876716</v>
      </c>
      <c r="U116" s="191">
        <f t="shared" si="15"/>
        <v>17.923287671232877</v>
      </c>
      <c r="V116" s="277">
        <f>((O116*(1-(1+Assumptions!$G$40)^(-1*(G116-Q116))))/Assumptions!$G$40)-((O116*(1-(1+Assumptions!$G$40)^(-1*(T116))))/Assumptions!$G$40)</f>
        <v>10156.234423568414</v>
      </c>
      <c r="W116" s="277">
        <f>((O116*(1-(1+Assumptions!$G$46)^(-1*(G116-Q116))))/Assumptions!$G$46)-((O116*(1-(1+Assumptions!$G$46)^(-1*(T116))))/Assumptions!$G$46)</f>
        <v>23275.705962512264</v>
      </c>
      <c r="X116" s="283">
        <f t="shared" si="16"/>
        <v>8738.880000000001</v>
      </c>
      <c r="Y116" s="181">
        <f t="shared" si="16"/>
        <v>8738.880000000001</v>
      </c>
      <c r="Z116" s="181">
        <f t="shared" si="16"/>
        <v>8738.880000000001</v>
      </c>
      <c r="AA116" s="284">
        <f>((X116*(1-(1+Assumptions!$H$40)^(-1*(G116-Q116))))/Assumptions!$H$40)-((X116*(1-(1+Assumptions!$H$40)^(-1*(T116))))/Assumptions!$H$40)</f>
        <v>10156.234423568414</v>
      </c>
      <c r="AB116" s="284">
        <f>((Y116*(1-(1+Assumptions!$I$40)^(-1*(G116-Q116))))/Assumptions!$I$40)-((Y116*(1-(1+Assumptions!$I$40)^(-1*(T116))))/Assumptions!$I$40)</f>
        <v>10156.234423568414</v>
      </c>
      <c r="AC116" s="285">
        <f>((Z116*(1-(1+Assumptions!$J$40)^(-1*(G116-Q116))))/Assumptions!$J$40)-((Z116*(1-(1+Assumptions!$J$40)^(-1*(T116))))/Assumptions!$J$40)</f>
        <v>10156.234423568414</v>
      </c>
      <c r="AD116" s="148">
        <f>((X116*(1-(1+Assumptions!$H$46)^(-1*(G116-Q116))))/Assumptions!$H$46)-((X116*(1-(1+Assumptions!$H$46)^(-1*(T116))))/Assumptions!$H$46)</f>
        <v>23275.705962512264</v>
      </c>
      <c r="AE116" s="148">
        <f>((Y116*(1-(1+Assumptions!$I$46)^(-1*(G116-Q116))))/Assumptions!$I$46)-((Y116*(1-(1+Assumptions!$I$46)^(-1*(T116))))/Assumptions!$I$46)</f>
        <v>23275.705962512264</v>
      </c>
      <c r="AF116" s="148">
        <f>((Z116*(1-(1+Assumptions!$J$46)^(-1*(G116-Q116))))/Assumptions!$J$46)-((Z116*(1-(1+Assumptions!$J$46)^(-1*(T116))))/Assumptions!$J$46)</f>
        <v>23275.705962512264</v>
      </c>
      <c r="AG116" s="145">
        <v>37134</v>
      </c>
      <c r="AH116" s="148">
        <f>((AI116*(1-(1+Assumptions!$M$40)^(-1*(G116-Q116))))/Assumptions!$M$40)-((AI116*(1-(1+Assumptions!$M$40)^(-1*(T116))))/Assumptions!$M$40)</f>
        <v>27381.94880013715</v>
      </c>
      <c r="AI116" s="412">
        <f t="shared" si="17"/>
        <v>8738.880000000001</v>
      </c>
      <c r="AJ116" s="148">
        <f>((AI116*(1-(1+Assumptions!$L$40)^(-1*(G116-Q116))))/Assumptions!$L$40)-((AI116*(1-(1+Assumptions!$L$40)^(-1*(T116))))/Assumptions!$L$40)</f>
        <v>10156.234423568414</v>
      </c>
      <c r="AK116" s="148">
        <f>((AI116*(1-(1+Assumptions!$L$46)^(-1*(G116-Q116))))/Assumptions!$L$46)-((AI116*(1-(1+Assumptions!$L$46)^(-1*(T116))))/Assumptions!$L$46)</f>
        <v>23275.705962512264</v>
      </c>
      <c r="AL116" s="148"/>
      <c r="AM116" s="4"/>
      <c r="AN116" s="3"/>
      <c r="AO116" s="112"/>
      <c r="AP116" s="112"/>
      <c r="AQ116" s="114"/>
      <c r="AR116" s="116"/>
    </row>
    <row r="117" spans="1:44" x14ac:dyDescent="0.2">
      <c r="A117" s="3" t="s">
        <v>107</v>
      </c>
      <c r="B117" s="26">
        <f t="shared" si="18"/>
        <v>91</v>
      </c>
      <c r="C117" s="4"/>
      <c r="D117" s="257" t="s">
        <v>426</v>
      </c>
      <c r="E117" s="257"/>
      <c r="F117" s="107" t="s">
        <v>210</v>
      </c>
      <c r="G117" s="5">
        <f>IF(F117="f",Assumptions!$E$39,Assumptions!$E$38)</f>
        <v>81.8</v>
      </c>
      <c r="H117" s="112">
        <v>17749</v>
      </c>
      <c r="I117" s="112">
        <v>28685</v>
      </c>
      <c r="J117" s="27">
        <f>DATE(88,9,5)</f>
        <v>32391</v>
      </c>
      <c r="K117" s="28"/>
      <c r="L117" s="95"/>
      <c r="M117" s="245">
        <v>459.25</v>
      </c>
      <c r="N117" s="130"/>
      <c r="O117" s="195">
        <f t="shared" si="12"/>
        <v>5511</v>
      </c>
      <c r="P117" s="40">
        <f t="shared" si="13"/>
        <v>10.153424657534247</v>
      </c>
      <c r="Q117" s="39">
        <f t="shared" si="14"/>
        <v>53.109589041095887</v>
      </c>
      <c r="T117" s="81">
        <f>IF(Q117&lt;=Assumptions!$E$43,Assumptions!$E$43-Q117,Assumptions!$E$45)</f>
        <v>11.890410958904113</v>
      </c>
      <c r="U117" s="191">
        <f t="shared" si="15"/>
        <v>23.147945205479452</v>
      </c>
      <c r="V117" s="277">
        <f>((O117*(1-(1+Assumptions!$G$40)^(-1*(G117-Q117))))/Assumptions!$G$40)-((O117*(1-(1+Assumptions!$G$40)^(-1*(T117))))/Assumptions!$G$40)</f>
        <v>16810.537137662774</v>
      </c>
      <c r="W117" s="277">
        <f>((O117*(1-(1+Assumptions!$G$46)^(-1*(G117-Q117))))/Assumptions!$G$46)-((O117*(1-(1+Assumptions!$G$46)^(-1*(T117))))/Assumptions!$G$46)</f>
        <v>28365.188119224345</v>
      </c>
      <c r="X117" s="283">
        <f t="shared" si="16"/>
        <v>5511</v>
      </c>
      <c r="Y117" s="181">
        <f t="shared" si="16"/>
        <v>5511</v>
      </c>
      <c r="Z117" s="181">
        <f t="shared" si="16"/>
        <v>5511</v>
      </c>
      <c r="AA117" s="284">
        <f>((X117*(1-(1+Assumptions!$H$40)^(-1*(G117-Q117))))/Assumptions!$H$40)-((X117*(1-(1+Assumptions!$H$40)^(-1*(T117))))/Assumptions!$H$40)</f>
        <v>16810.537137662774</v>
      </c>
      <c r="AB117" s="284">
        <f>((Y117*(1-(1+Assumptions!$I$40)^(-1*(G117-Q117))))/Assumptions!$I$40)-((Y117*(1-(1+Assumptions!$I$40)^(-1*(T117))))/Assumptions!$I$40)</f>
        <v>16810.537137662774</v>
      </c>
      <c r="AC117" s="285">
        <f>((Z117*(1-(1+Assumptions!$J$40)^(-1*(G117-Q117))))/Assumptions!$J$40)-((Z117*(1-(1+Assumptions!$J$40)^(-1*(T117))))/Assumptions!$J$40)</f>
        <v>16810.537137662774</v>
      </c>
      <c r="AD117" s="148">
        <f>((X117*(1-(1+Assumptions!$H$46)^(-1*(G117-Q117))))/Assumptions!$H$46)-((X117*(1-(1+Assumptions!$H$46)^(-1*(T117))))/Assumptions!$H$46)</f>
        <v>28365.188119224345</v>
      </c>
      <c r="AE117" s="148">
        <f>((Y117*(1-(1+Assumptions!$I$46)^(-1*(G117-Q117))))/Assumptions!$I$46)-((Y117*(1-(1+Assumptions!$I$46)^(-1*(T117))))/Assumptions!$I$46)</f>
        <v>28365.188119224345</v>
      </c>
      <c r="AF117" s="148">
        <f>((Z117*(1-(1+Assumptions!$J$46)^(-1*(G117-Q117))))/Assumptions!$J$46)-((Z117*(1-(1+Assumptions!$J$46)^(-1*(T117))))/Assumptions!$J$46)</f>
        <v>28365.188119224345</v>
      </c>
      <c r="AG117" s="145">
        <v>37134</v>
      </c>
      <c r="AH117" s="148">
        <f>((AI117*(1-(1+Assumptions!$M$40)^(-1*(G117-Q117))))/Assumptions!$M$40)-((AI117*(1-(1+Assumptions!$M$40)^(-1*(T117))))/Assumptions!$M$40)</f>
        <v>31448.709717453654</v>
      </c>
      <c r="AI117" s="412">
        <f t="shared" si="17"/>
        <v>5511</v>
      </c>
      <c r="AJ117" s="148">
        <f>((AI117*(1-(1+Assumptions!$L$40)^(-1*(G117-Q117))))/Assumptions!$L$40)-((AI117*(1-(1+Assumptions!$L$40)^(-1*(T117))))/Assumptions!$L$40)</f>
        <v>16810.537137662774</v>
      </c>
      <c r="AK117" s="148">
        <f>((AI117*(1-(1+Assumptions!$L$46)^(-1*(G117-Q117))))/Assumptions!$L$46)-((AI117*(1-(1+Assumptions!$L$46)^(-1*(T117))))/Assumptions!$L$46)</f>
        <v>28365.188119224345</v>
      </c>
      <c r="AL117" s="148"/>
      <c r="AM117" s="4"/>
      <c r="AN117" s="3"/>
      <c r="AO117" s="112"/>
      <c r="AP117" s="112"/>
      <c r="AQ117" s="114"/>
      <c r="AR117" s="116"/>
    </row>
    <row r="118" spans="1:44" x14ac:dyDescent="0.2">
      <c r="A118" s="3" t="s">
        <v>107</v>
      </c>
      <c r="B118" s="26">
        <f t="shared" si="18"/>
        <v>92</v>
      </c>
      <c r="C118" s="4"/>
      <c r="D118" s="257" t="s">
        <v>427</v>
      </c>
      <c r="E118" s="257"/>
      <c r="F118" s="107" t="s">
        <v>210</v>
      </c>
      <c r="G118" s="5">
        <f>IF(F118="f",Assumptions!$E$39,Assumptions!$E$38)</f>
        <v>81.8</v>
      </c>
      <c r="H118" s="112">
        <v>20463</v>
      </c>
      <c r="I118" s="112">
        <v>30654</v>
      </c>
      <c r="J118" s="27">
        <f>DATE(96,9,1)</f>
        <v>35309</v>
      </c>
      <c r="K118" s="28"/>
      <c r="L118" s="95"/>
      <c r="M118" s="245">
        <v>1029.17</v>
      </c>
      <c r="N118" s="130"/>
      <c r="O118" s="195">
        <f t="shared" si="12"/>
        <v>12350.04</v>
      </c>
      <c r="P118" s="40">
        <f t="shared" si="13"/>
        <v>12.753424657534246</v>
      </c>
      <c r="Q118" s="39">
        <f t="shared" si="14"/>
        <v>45.673972602739724</v>
      </c>
      <c r="T118" s="81">
        <f>IF(Q118&lt;=Assumptions!$E$43,Assumptions!$E$43-Q118,Assumptions!$E$45)</f>
        <v>19.326027397260276</v>
      </c>
      <c r="U118" s="191">
        <f t="shared" si="15"/>
        <v>17.753424657534246</v>
      </c>
      <c r="V118" s="277">
        <f>((O118*(1-(1+Assumptions!$G$40)^(-1*(G118-Q118))))/Assumptions!$G$40)-((O118*(1-(1+Assumptions!$G$40)^(-1*(T118))))/Assumptions!$G$40)</f>
        <v>19848.626536321244</v>
      </c>
      <c r="W118" s="277">
        <f>((O118*(1-(1+Assumptions!$G$46)^(-1*(G118-Q118))))/Assumptions!$G$46)-((O118*(1-(1+Assumptions!$G$46)^(-1*(T118))))/Assumptions!$G$46)</f>
        <v>41042.287188635179</v>
      </c>
      <c r="X118" s="283">
        <f t="shared" si="16"/>
        <v>12350.04</v>
      </c>
      <c r="Y118" s="181">
        <f t="shared" si="16"/>
        <v>12350.04</v>
      </c>
      <c r="Z118" s="181">
        <f t="shared" si="16"/>
        <v>12350.04</v>
      </c>
      <c r="AA118" s="284">
        <f>((X118*(1-(1+Assumptions!$H$40)^(-1*(G118-Q118))))/Assumptions!$H$40)-((X118*(1-(1+Assumptions!$H$40)^(-1*(T118))))/Assumptions!$H$40)</f>
        <v>19848.626536321244</v>
      </c>
      <c r="AB118" s="284">
        <f>((Y118*(1-(1+Assumptions!$I$40)^(-1*(G118-Q118))))/Assumptions!$I$40)-((Y118*(1-(1+Assumptions!$I$40)^(-1*(T118))))/Assumptions!$I$40)</f>
        <v>19848.626536321244</v>
      </c>
      <c r="AC118" s="285">
        <f>((Z118*(1-(1+Assumptions!$J$40)^(-1*(G118-Q118))))/Assumptions!$J$40)-((Z118*(1-(1+Assumptions!$J$40)^(-1*(T118))))/Assumptions!$J$40)</f>
        <v>19848.626536321244</v>
      </c>
      <c r="AD118" s="148">
        <f>((X118*(1-(1+Assumptions!$H$46)^(-1*(G118-Q118))))/Assumptions!$H$46)-((X118*(1-(1+Assumptions!$H$46)^(-1*(T118))))/Assumptions!$H$46)</f>
        <v>41042.287188635179</v>
      </c>
      <c r="AE118" s="148">
        <f>((Y118*(1-(1+Assumptions!$I$46)^(-1*(G118-Q118))))/Assumptions!$I$46)-((Y118*(1-(1+Assumptions!$I$46)^(-1*(T118))))/Assumptions!$I$46)</f>
        <v>41042.287188635179</v>
      </c>
      <c r="AF118" s="148">
        <f>((Z118*(1-(1+Assumptions!$J$46)^(-1*(G118-Q118))))/Assumptions!$J$46)-((Z118*(1-(1+Assumptions!$J$46)^(-1*(T118))))/Assumptions!$J$46)</f>
        <v>41042.287188635179</v>
      </c>
      <c r="AG118" s="145">
        <v>37134</v>
      </c>
      <c r="AH118" s="148">
        <f>((AI118*(1-(1+Assumptions!$M$40)^(-1*(G118-Q118))))/Assumptions!$M$40)-((AI118*(1-(1+Assumptions!$M$40)^(-1*(T118))))/Assumptions!$M$40)</f>
        <v>47330.861993945175</v>
      </c>
      <c r="AI118" s="412">
        <f t="shared" si="17"/>
        <v>12350.04</v>
      </c>
      <c r="AJ118" s="148">
        <f>((AI118*(1-(1+Assumptions!$L$40)^(-1*(G118-Q118))))/Assumptions!$L$40)-((AI118*(1-(1+Assumptions!$L$40)^(-1*(T118))))/Assumptions!$L$40)</f>
        <v>19848.626536321244</v>
      </c>
      <c r="AK118" s="148">
        <f>((AI118*(1-(1+Assumptions!$L$46)^(-1*(G118-Q118))))/Assumptions!$L$46)-((AI118*(1-(1+Assumptions!$L$46)^(-1*(T118))))/Assumptions!$L$46)</f>
        <v>41042.287188635179</v>
      </c>
      <c r="AL118" s="148"/>
      <c r="AM118" s="4"/>
      <c r="AN118" s="3"/>
      <c r="AO118" s="112"/>
      <c r="AP118" s="112"/>
      <c r="AQ118" s="114"/>
      <c r="AR118" s="116"/>
    </row>
    <row r="119" spans="1:44" x14ac:dyDescent="0.2">
      <c r="A119" s="3" t="s">
        <v>107</v>
      </c>
      <c r="B119" s="26">
        <f t="shared" si="18"/>
        <v>93</v>
      </c>
      <c r="C119" s="4"/>
      <c r="D119" s="257" t="s">
        <v>428</v>
      </c>
      <c r="E119" s="257"/>
      <c r="F119" s="107" t="s">
        <v>211</v>
      </c>
      <c r="G119" s="5">
        <f>IF(F119="f",Assumptions!$E$39,Assumptions!$E$38)</f>
        <v>89.3</v>
      </c>
      <c r="H119" s="112">
        <v>16364</v>
      </c>
      <c r="I119" s="112">
        <v>26278</v>
      </c>
      <c r="J119" s="27">
        <f>DATE(85,8,31)</f>
        <v>31290</v>
      </c>
      <c r="K119" s="28"/>
      <c r="L119" s="95"/>
      <c r="M119" s="245">
        <v>347.92</v>
      </c>
      <c r="N119" s="130"/>
      <c r="O119" s="195">
        <f t="shared" si="12"/>
        <v>4175.04</v>
      </c>
      <c r="P119" s="40">
        <f t="shared" si="13"/>
        <v>13.731506849315069</v>
      </c>
      <c r="Q119" s="39">
        <f t="shared" si="14"/>
        <v>56.904109589041099</v>
      </c>
      <c r="T119" s="81">
        <f>IF(Q119&lt;=Assumptions!$E$43,Assumptions!$E$43-Q119,Assumptions!$E$45)</f>
        <v>8.0958904109589014</v>
      </c>
      <c r="U119" s="191">
        <f t="shared" si="15"/>
        <v>29.742465753424657</v>
      </c>
      <c r="V119" s="277">
        <f>((O119*(1-(1+Assumptions!$G$40)^(-1*(G119-Q119))))/Assumptions!$G$40)-((O119*(1-(1+Assumptions!$G$40)^(-1*(T119))))/Assumptions!$G$40)</f>
        <v>20245.491695443412</v>
      </c>
      <c r="W119" s="277">
        <f>((O119*(1-(1+Assumptions!$G$46)^(-1*(G119-Q119))))/Assumptions!$G$46)-((O119*(1-(1+Assumptions!$G$46)^(-1*(T119))))/Assumptions!$G$46)</f>
        <v>32545.443557138791</v>
      </c>
      <c r="X119" s="283">
        <f t="shared" si="16"/>
        <v>4175.04</v>
      </c>
      <c r="Y119" s="181">
        <f t="shared" si="16"/>
        <v>4175.04</v>
      </c>
      <c r="Z119" s="181">
        <f t="shared" si="16"/>
        <v>4175.04</v>
      </c>
      <c r="AA119" s="284">
        <f>((X119*(1-(1+Assumptions!$H$40)^(-1*(G119-Q119))))/Assumptions!$H$40)-((X119*(1-(1+Assumptions!$H$40)^(-1*(T119))))/Assumptions!$H$40)</f>
        <v>20245.491695443412</v>
      </c>
      <c r="AB119" s="284">
        <f>((Y119*(1-(1+Assumptions!$I$40)^(-1*(G119-Q119))))/Assumptions!$I$40)-((Y119*(1-(1+Assumptions!$I$40)^(-1*(T119))))/Assumptions!$I$40)</f>
        <v>20245.491695443412</v>
      </c>
      <c r="AC119" s="285">
        <f>((Z119*(1-(1+Assumptions!$J$40)^(-1*(G119-Q119))))/Assumptions!$J$40)-((Z119*(1-(1+Assumptions!$J$40)^(-1*(T119))))/Assumptions!$J$40)</f>
        <v>20245.491695443412</v>
      </c>
      <c r="AD119" s="148">
        <f>((X119*(1-(1+Assumptions!$H$46)^(-1*(G119-Q119))))/Assumptions!$H$46)-((X119*(1-(1+Assumptions!$H$46)^(-1*(T119))))/Assumptions!$H$46)</f>
        <v>32545.443557138791</v>
      </c>
      <c r="AE119" s="148">
        <f>((Y119*(1-(1+Assumptions!$I$46)^(-1*(G119-Q119))))/Assumptions!$I$46)-((Y119*(1-(1+Assumptions!$I$46)^(-1*(T119))))/Assumptions!$I$46)</f>
        <v>32545.443557138791</v>
      </c>
      <c r="AF119" s="148">
        <f>((Z119*(1-(1+Assumptions!$J$46)^(-1*(G119-Q119))))/Assumptions!$J$46)-((Z119*(1-(1+Assumptions!$J$46)^(-1*(T119))))/Assumptions!$J$46)</f>
        <v>32545.443557138791</v>
      </c>
      <c r="AG119" s="145">
        <v>37134</v>
      </c>
      <c r="AH119" s="148">
        <f>((AI119*(1-(1+Assumptions!$M$40)^(-1*(G119-Q119))))/Assumptions!$M$40)-((AI119*(1-(1+Assumptions!$M$40)^(-1*(T119))))/Assumptions!$M$40)</f>
        <v>35812.265414969064</v>
      </c>
      <c r="AI119" s="412">
        <f t="shared" si="17"/>
        <v>4175.04</v>
      </c>
      <c r="AJ119" s="148">
        <f>((AI119*(1-(1+Assumptions!$L$40)^(-1*(G119-Q119))))/Assumptions!$L$40)-((AI119*(1-(1+Assumptions!$L$40)^(-1*(T119))))/Assumptions!$L$40)</f>
        <v>20245.491695443412</v>
      </c>
      <c r="AK119" s="148">
        <f>((AI119*(1-(1+Assumptions!$L$46)^(-1*(G119-Q119))))/Assumptions!$L$46)-((AI119*(1-(1+Assumptions!$L$46)^(-1*(T119))))/Assumptions!$L$46)</f>
        <v>32545.443557138791</v>
      </c>
      <c r="AL119" s="148"/>
      <c r="AM119" s="4"/>
      <c r="AN119" s="3"/>
      <c r="AO119" s="112"/>
      <c r="AP119" s="112"/>
      <c r="AQ119" s="114"/>
      <c r="AR119" s="116"/>
    </row>
    <row r="120" spans="1:44" x14ac:dyDescent="0.2">
      <c r="A120" s="180" t="s">
        <v>107</v>
      </c>
      <c r="B120" s="26">
        <f t="shared" si="18"/>
        <v>94</v>
      </c>
      <c r="C120" s="4"/>
      <c r="D120" s="257" t="s">
        <v>429</v>
      </c>
      <c r="E120" s="257"/>
      <c r="F120" s="107" t="s">
        <v>210</v>
      </c>
      <c r="G120" s="5">
        <f>IF(F120="f",Assumptions!$E$39,Assumptions!$E$38)</f>
        <v>81.8</v>
      </c>
      <c r="H120" s="112">
        <v>23306</v>
      </c>
      <c r="I120" s="112">
        <v>33944</v>
      </c>
      <c r="J120" s="27">
        <v>37136</v>
      </c>
      <c r="K120" s="28"/>
      <c r="L120" s="91">
        <f>(((H120+(Assumptions!$E$43*365))-I120))/365</f>
        <v>35.854794520547948</v>
      </c>
      <c r="M120" s="269">
        <v>900</v>
      </c>
      <c r="N120" s="130"/>
      <c r="O120" s="195">
        <f t="shared" si="12"/>
        <v>10800</v>
      </c>
      <c r="P120" s="40">
        <f>(J120-I120)/365</f>
        <v>8.7452054794520553</v>
      </c>
      <c r="Q120" s="39">
        <f t="shared" si="14"/>
        <v>37.884931506849313</v>
      </c>
      <c r="T120" s="81">
        <f>IF(Q120&lt;=Assumptions!$E$43,Assumptions!$E$43-Q120,Assumptions!$E$45)</f>
        <v>27.115068493150687</v>
      </c>
      <c r="U120" s="191">
        <f t="shared" si="15"/>
        <v>8.7397260273972606</v>
      </c>
      <c r="V120" s="277">
        <f>((O120*(1-(1+Assumptions!$G$40)^(-1*(G120-Q120))))/Assumptions!$G$40)-((O120*(1-(1+Assumptions!$G$40)^(-1*(T120))))/Assumptions!$G$40)</f>
        <v>8870.933447349089</v>
      </c>
      <c r="W120" s="277">
        <f>((O120*(1-(1+Assumptions!$G$46)^(-1*(G120-Q120))))/Assumptions!$G$46)-((O120*(1-(1+Assumptions!$G$46)^(-1*(T120))))/Assumptions!$G$46)</f>
        <v>22696.78304519417</v>
      </c>
      <c r="X120" s="283">
        <f t="shared" si="16"/>
        <v>10800</v>
      </c>
      <c r="Y120" s="181">
        <f t="shared" si="16"/>
        <v>10800</v>
      </c>
      <c r="Z120" s="181">
        <f t="shared" si="16"/>
        <v>10800</v>
      </c>
      <c r="AA120" s="284">
        <f>((X120*(1-(1+Assumptions!$H$40)^(-1*(G120-Q120))))/Assumptions!$H$40)-((X120*(1-(1+Assumptions!$H$40)^(-1*(T120))))/Assumptions!$H$40)</f>
        <v>8870.933447349089</v>
      </c>
      <c r="AB120" s="284">
        <f>((Y120*(1-(1+Assumptions!$I$40)^(-1*(G120-Q120))))/Assumptions!$I$40)-((Y120*(1-(1+Assumptions!$I$40)^(-1*(T120))))/Assumptions!$I$40)</f>
        <v>8870.933447349089</v>
      </c>
      <c r="AC120" s="285">
        <f>((Z120*(1-(1+Assumptions!$J$40)^(-1*(G120-Q120))))/Assumptions!$J$40)-((Z120*(1-(1+Assumptions!$J$40)^(-1*(T120))))/Assumptions!$J$40)</f>
        <v>8870.933447349089</v>
      </c>
      <c r="AD120" s="148">
        <f>((X120*(1-(1+Assumptions!$H$46)^(-1*(G120-Q120))))/Assumptions!$H$46)-((X120*(1-(1+Assumptions!$H$46)^(-1*(T120))))/Assumptions!$H$46)</f>
        <v>22696.78304519417</v>
      </c>
      <c r="AE120" s="148">
        <f>((Y120*(1-(1+Assumptions!$I$46)^(-1*(G120-Q120))))/Assumptions!$I$46)-((Y120*(1-(1+Assumptions!$I$46)^(-1*(T120))))/Assumptions!$I$46)</f>
        <v>22696.78304519417</v>
      </c>
      <c r="AF120" s="148">
        <f>((Z120*(1-(1+Assumptions!$J$46)^(-1*(G120-Q120))))/Assumptions!$J$46)-((Z120*(1-(1+Assumptions!$J$46)^(-1*(T120))))/Assumptions!$J$46)</f>
        <v>22696.78304519417</v>
      </c>
      <c r="AG120" s="145">
        <v>37134</v>
      </c>
      <c r="AH120" s="148">
        <f>((AI120*(1-(1+Assumptions!$M$40)^(-1*(G120-Q120))))/Assumptions!$M$40)-((AI120*(1-(1+Assumptions!$M$40)^(-1*(T120))))/Assumptions!$M$40)</f>
        <v>27276.298941232468</v>
      </c>
      <c r="AI120" s="412">
        <f t="shared" si="17"/>
        <v>10800</v>
      </c>
      <c r="AJ120" s="148">
        <f>((AI120*(1-(1+Assumptions!$L$40)^(-1*(G120-Q120))))/Assumptions!$L$40)-((AI120*(1-(1+Assumptions!$L$40)^(-1*(T120))))/Assumptions!$L$40)</f>
        <v>8870.933447349089</v>
      </c>
      <c r="AK120" s="148">
        <f>((AI120*(1-(1+Assumptions!$L$46)^(-1*(G120-Q120))))/Assumptions!$L$46)-((AI120*(1-(1+Assumptions!$L$46)^(-1*(T120))))/Assumptions!$L$46)</f>
        <v>22696.78304519417</v>
      </c>
      <c r="AL120" s="148"/>
      <c r="AM120" s="4"/>
      <c r="AN120" s="3"/>
      <c r="AO120" s="112"/>
      <c r="AP120" s="112"/>
      <c r="AQ120" s="114"/>
      <c r="AR120" s="116"/>
    </row>
    <row r="121" spans="1:44" x14ac:dyDescent="0.2">
      <c r="A121" s="3" t="s">
        <v>107</v>
      </c>
      <c r="B121" s="26">
        <f t="shared" si="18"/>
        <v>95</v>
      </c>
      <c r="C121" s="4"/>
      <c r="D121" s="257" t="s">
        <v>430</v>
      </c>
      <c r="E121" s="257"/>
      <c r="F121" s="107" t="s">
        <v>210</v>
      </c>
      <c r="G121" s="5">
        <f>IF(F121="f",Assumptions!$E$39,Assumptions!$E$38)</f>
        <v>81.8</v>
      </c>
      <c r="H121" s="112">
        <v>16186</v>
      </c>
      <c r="I121" s="112">
        <v>27014</v>
      </c>
      <c r="J121" s="27">
        <f>DATE(94,10,3)</f>
        <v>34610</v>
      </c>
      <c r="K121" s="28"/>
      <c r="L121" s="95"/>
      <c r="M121" s="245">
        <v>1662.5</v>
      </c>
      <c r="N121" s="130"/>
      <c r="O121" s="195">
        <f t="shared" si="12"/>
        <v>19950</v>
      </c>
      <c r="P121" s="40">
        <f t="shared" si="13"/>
        <v>20.81095890410959</v>
      </c>
      <c r="Q121" s="39">
        <f t="shared" si="14"/>
        <v>57.391780821917806</v>
      </c>
      <c r="T121" s="81">
        <f>IF(Q121&lt;=Assumptions!$E$43,Assumptions!$E$43-Q121,Assumptions!$E$45)</f>
        <v>7.6082191780821944</v>
      </c>
      <c r="U121" s="191">
        <f t="shared" si="15"/>
        <v>27.726027397260275</v>
      </c>
      <c r="V121" s="277">
        <f>((O121*(1-(1+Assumptions!$G$40)^(-1*(G121-Q121))))/Assumptions!$G$40)-((O121*(1-(1+Assumptions!$G$40)^(-1*(T121))))/Assumptions!$G$40)</f>
        <v>88015.97845415301</v>
      </c>
      <c r="W121" s="277">
        <f>((O121*(1-(1+Assumptions!$G$46)^(-1*(G121-Q121))))/Assumptions!$G$46)-((O121*(1-(1+Assumptions!$G$46)^(-1*(T121))))/Assumptions!$G$46)</f>
        <v>132103.7379007389</v>
      </c>
      <c r="X121" s="283">
        <f t="shared" si="16"/>
        <v>19950</v>
      </c>
      <c r="Y121" s="181">
        <f t="shared" si="16"/>
        <v>19950</v>
      </c>
      <c r="Z121" s="181">
        <f t="shared" si="16"/>
        <v>19950</v>
      </c>
      <c r="AA121" s="284">
        <f>((X121*(1-(1+Assumptions!$H$40)^(-1*(G121-Q121))))/Assumptions!$H$40)-((X121*(1-(1+Assumptions!$H$40)^(-1*(T121))))/Assumptions!$H$40)</f>
        <v>88015.97845415301</v>
      </c>
      <c r="AB121" s="284">
        <f>((Y121*(1-(1+Assumptions!$I$40)^(-1*(G121-Q121))))/Assumptions!$I$40)-((Y121*(1-(1+Assumptions!$I$40)^(-1*(T121))))/Assumptions!$I$40)</f>
        <v>88015.97845415301</v>
      </c>
      <c r="AC121" s="285">
        <f>((Z121*(1-(1+Assumptions!$J$40)^(-1*(G121-Q121))))/Assumptions!$J$40)-((Z121*(1-(1+Assumptions!$J$40)^(-1*(T121))))/Assumptions!$J$40)</f>
        <v>88015.97845415301</v>
      </c>
      <c r="AD121" s="148">
        <f>((X121*(1-(1+Assumptions!$H$46)^(-1*(G121-Q121))))/Assumptions!$H$46)-((X121*(1-(1+Assumptions!$H$46)^(-1*(T121))))/Assumptions!$H$46)</f>
        <v>132103.7379007389</v>
      </c>
      <c r="AE121" s="148">
        <f>((Y121*(1-(1+Assumptions!$I$46)^(-1*(G121-Q121))))/Assumptions!$I$46)-((Y121*(1-(1+Assumptions!$I$46)^(-1*(T121))))/Assumptions!$I$46)</f>
        <v>132103.7379007389</v>
      </c>
      <c r="AF121" s="148">
        <f>((Z121*(1-(1+Assumptions!$J$46)^(-1*(G121-Q121))))/Assumptions!$J$46)-((Z121*(1-(1+Assumptions!$J$46)^(-1*(T121))))/Assumptions!$J$46)</f>
        <v>132103.7379007389</v>
      </c>
      <c r="AG121" s="145">
        <v>37134</v>
      </c>
      <c r="AH121" s="148">
        <f>((AI121*(1-(1+Assumptions!$M$40)^(-1*(G121-Q121))))/Assumptions!$M$40)-((AI121*(1-(1+Assumptions!$M$40)^(-1*(T121))))/Assumptions!$M$40)</f>
        <v>143181.46851567912</v>
      </c>
      <c r="AI121" s="412">
        <f t="shared" si="17"/>
        <v>19950</v>
      </c>
      <c r="AJ121" s="148">
        <f>((AI121*(1-(1+Assumptions!$L$40)^(-1*(G121-Q121))))/Assumptions!$L$40)-((AI121*(1-(1+Assumptions!$L$40)^(-1*(T121))))/Assumptions!$L$40)</f>
        <v>88015.97845415301</v>
      </c>
      <c r="AK121" s="148">
        <f>((AI121*(1-(1+Assumptions!$L$46)^(-1*(G121-Q121))))/Assumptions!$L$46)-((AI121*(1-(1+Assumptions!$L$46)^(-1*(T121))))/Assumptions!$L$46)</f>
        <v>132103.7379007389</v>
      </c>
      <c r="AL121" s="148"/>
      <c r="AM121" s="4"/>
      <c r="AN121" s="3"/>
      <c r="AO121" s="112"/>
      <c r="AP121" s="112"/>
      <c r="AQ121" s="114"/>
      <c r="AR121" s="116"/>
    </row>
    <row r="122" spans="1:44" x14ac:dyDescent="0.2">
      <c r="A122" s="3" t="s">
        <v>107</v>
      </c>
      <c r="B122" s="26">
        <f t="shared" si="18"/>
        <v>96</v>
      </c>
      <c r="C122" s="4"/>
      <c r="D122" s="257" t="s">
        <v>431</v>
      </c>
      <c r="E122" s="257"/>
      <c r="F122" s="107" t="s">
        <v>210</v>
      </c>
      <c r="G122" s="5">
        <f>IF(F122="f",Assumptions!$E$39,Assumptions!$E$38)</f>
        <v>81.8</v>
      </c>
      <c r="H122" s="112">
        <v>15803</v>
      </c>
      <c r="I122" s="112">
        <v>22980</v>
      </c>
      <c r="J122" s="27">
        <f>DATE(86,9,1)</f>
        <v>31656</v>
      </c>
      <c r="K122" s="28"/>
      <c r="L122" s="95"/>
      <c r="M122" s="245">
        <v>1066.6600000000001</v>
      </c>
      <c r="N122" s="130"/>
      <c r="O122" s="195">
        <f t="shared" si="12"/>
        <v>12799.920000000002</v>
      </c>
      <c r="P122" s="40">
        <f t="shared" si="13"/>
        <v>23.769863013698629</v>
      </c>
      <c r="Q122" s="39">
        <f t="shared" si="14"/>
        <v>58.441095890410956</v>
      </c>
      <c r="T122" s="81">
        <f>IF(Q122&lt;=Assumptions!$E$43,Assumptions!$E$43-Q122,Assumptions!$E$45)</f>
        <v>6.5589041095890437</v>
      </c>
      <c r="U122" s="191">
        <f t="shared" si="15"/>
        <v>38.778082191780825</v>
      </c>
      <c r="V122" s="277">
        <f>((O122*(1-(1+Assumptions!$G$40)^(-1*(G122-Q122))))/Assumptions!$G$40)-((O122*(1-(1+Assumptions!$G$40)^(-1*(T122))))/Assumptions!$G$40)</f>
        <v>61815.596559876016</v>
      </c>
      <c r="W122" s="277">
        <f>((O122*(1-(1+Assumptions!$G$46)^(-1*(G122-Q122))))/Assumptions!$G$46)-((O122*(1-(1+Assumptions!$G$46)^(-1*(T122))))/Assumptions!$G$46)</f>
        <v>90155.279541496959</v>
      </c>
      <c r="X122" s="283">
        <f t="shared" si="16"/>
        <v>12799.920000000002</v>
      </c>
      <c r="Y122" s="181">
        <f t="shared" si="16"/>
        <v>12799.920000000002</v>
      </c>
      <c r="Z122" s="181">
        <f t="shared" si="16"/>
        <v>12799.920000000002</v>
      </c>
      <c r="AA122" s="284">
        <f>((X122*(1-(1+Assumptions!$H$40)^(-1*(G122-Q122))))/Assumptions!$H$40)-((X122*(1-(1+Assumptions!$H$40)^(-1*(T122))))/Assumptions!$H$40)</f>
        <v>61815.596559876016</v>
      </c>
      <c r="AB122" s="284">
        <f>((Y122*(1-(1+Assumptions!$I$40)^(-1*(G122-Q122))))/Assumptions!$I$40)-((Y122*(1-(1+Assumptions!$I$40)^(-1*(T122))))/Assumptions!$I$40)</f>
        <v>61815.596559876016</v>
      </c>
      <c r="AC122" s="285">
        <f>((Z122*(1-(1+Assumptions!$J$40)^(-1*(G122-Q122))))/Assumptions!$J$40)-((Z122*(1-(1+Assumptions!$J$40)^(-1*(T122))))/Assumptions!$J$40)</f>
        <v>61815.596559876016</v>
      </c>
      <c r="AD122" s="148">
        <f>((X122*(1-(1+Assumptions!$H$46)^(-1*(G122-Q122))))/Assumptions!$H$46)-((X122*(1-(1+Assumptions!$H$46)^(-1*(T122))))/Assumptions!$H$46)</f>
        <v>90155.279541496959</v>
      </c>
      <c r="AE122" s="148">
        <f>((Y122*(1-(1+Assumptions!$I$46)^(-1*(G122-Q122))))/Assumptions!$I$46)-((Y122*(1-(1+Assumptions!$I$46)^(-1*(T122))))/Assumptions!$I$46)</f>
        <v>90155.279541496959</v>
      </c>
      <c r="AF122" s="148">
        <f>((Z122*(1-(1+Assumptions!$J$46)^(-1*(G122-Q122))))/Assumptions!$J$46)-((Z122*(1-(1+Assumptions!$J$46)^(-1*(T122))))/Assumptions!$J$46)</f>
        <v>90155.279541496959</v>
      </c>
      <c r="AG122" s="145">
        <v>37134</v>
      </c>
      <c r="AH122" s="148">
        <f>((AI122*(1-(1+Assumptions!$M$40)^(-1*(G122-Q122))))/Assumptions!$M$40)-((AI122*(1-(1+Assumptions!$M$40)^(-1*(T122))))/Assumptions!$M$40)</f>
        <v>97174.054559269876</v>
      </c>
      <c r="AI122" s="412">
        <f t="shared" si="17"/>
        <v>12799.920000000002</v>
      </c>
      <c r="AJ122" s="148">
        <f>((AI122*(1-(1+Assumptions!$L$40)^(-1*(G122-Q122))))/Assumptions!$L$40)-((AI122*(1-(1+Assumptions!$L$40)^(-1*(T122))))/Assumptions!$L$40)</f>
        <v>61815.596559876016</v>
      </c>
      <c r="AK122" s="148">
        <f>((AI122*(1-(1+Assumptions!$L$46)^(-1*(G122-Q122))))/Assumptions!$L$46)-((AI122*(1-(1+Assumptions!$L$46)^(-1*(T122))))/Assumptions!$L$46)</f>
        <v>90155.279541496959</v>
      </c>
      <c r="AL122" s="148"/>
      <c r="AM122" s="4"/>
      <c r="AN122" s="3"/>
      <c r="AO122" s="112"/>
      <c r="AP122" s="112"/>
      <c r="AQ122" s="114"/>
      <c r="AR122" s="116"/>
    </row>
    <row r="123" spans="1:44" x14ac:dyDescent="0.2">
      <c r="A123" s="3" t="s">
        <v>107</v>
      </c>
      <c r="B123" s="26">
        <f t="shared" si="18"/>
        <v>97</v>
      </c>
      <c r="C123" s="4"/>
      <c r="D123" s="257" t="s">
        <v>432</v>
      </c>
      <c r="E123" s="257"/>
      <c r="F123" s="107" t="s">
        <v>210</v>
      </c>
      <c r="G123" s="5">
        <f>IF(F123="f",Assumptions!$E$39,Assumptions!$E$38)</f>
        <v>81.8</v>
      </c>
      <c r="H123" s="112">
        <v>15305</v>
      </c>
      <c r="I123" s="112">
        <v>26998</v>
      </c>
      <c r="J123" s="27">
        <f>DATE(86,9,1)</f>
        <v>31656</v>
      </c>
      <c r="K123" s="28"/>
      <c r="L123" s="95"/>
      <c r="M123" s="245">
        <v>577.77</v>
      </c>
      <c r="N123" s="130"/>
      <c r="O123" s="195">
        <f t="shared" si="12"/>
        <v>6933.24</v>
      </c>
      <c r="P123" s="40">
        <f t="shared" si="13"/>
        <v>12.761643835616438</v>
      </c>
      <c r="Q123" s="39">
        <f t="shared" si="14"/>
        <v>59.805479452054797</v>
      </c>
      <c r="T123" s="81">
        <f>IF(Q123&lt;=Assumptions!$E$43,Assumptions!$E$43-Q123,Assumptions!$E$45)</f>
        <v>5.1945205479452028</v>
      </c>
      <c r="U123" s="191">
        <f t="shared" si="15"/>
        <v>27.769863013698629</v>
      </c>
      <c r="V123" s="277">
        <f>((O123*(1-(1+Assumptions!$G$40)^(-1*(G123-Q123))))/Assumptions!$G$40)-((O123*(1-(1+Assumptions!$G$40)^(-1*(T123))))/Assumptions!$G$40)</f>
        <v>37660.938820857569</v>
      </c>
      <c r="W123" s="277">
        <f>((O123*(1-(1+Assumptions!$G$46)^(-1*(G123-Q123))))/Assumptions!$G$46)-((O123*(1-(1+Assumptions!$G$46)^(-1*(T123))))/Assumptions!$G$46)</f>
        <v>52915.43334117104</v>
      </c>
      <c r="X123" s="283">
        <f t="shared" si="16"/>
        <v>6933.24</v>
      </c>
      <c r="Y123" s="181">
        <f t="shared" si="16"/>
        <v>6933.24</v>
      </c>
      <c r="Z123" s="181">
        <f t="shared" si="16"/>
        <v>6933.24</v>
      </c>
      <c r="AA123" s="284">
        <f>((X123*(1-(1+Assumptions!$H$40)^(-1*(G123-Q123))))/Assumptions!$H$40)-((X123*(1-(1+Assumptions!$H$40)^(-1*(T123))))/Assumptions!$H$40)</f>
        <v>37660.938820857569</v>
      </c>
      <c r="AB123" s="284">
        <f>((Y123*(1-(1+Assumptions!$I$40)^(-1*(G123-Q123))))/Assumptions!$I$40)-((Y123*(1-(1+Assumptions!$I$40)^(-1*(T123))))/Assumptions!$I$40)</f>
        <v>37660.938820857569</v>
      </c>
      <c r="AC123" s="285">
        <f>((Z123*(1-(1+Assumptions!$J$40)^(-1*(G123-Q123))))/Assumptions!$J$40)-((Z123*(1-(1+Assumptions!$J$40)^(-1*(T123))))/Assumptions!$J$40)</f>
        <v>37660.938820857569</v>
      </c>
      <c r="AD123" s="148">
        <f>((X123*(1-(1+Assumptions!$H$46)^(-1*(G123-Q123))))/Assumptions!$H$46)-((X123*(1-(1+Assumptions!$H$46)^(-1*(T123))))/Assumptions!$H$46)</f>
        <v>52915.43334117104</v>
      </c>
      <c r="AE123" s="148">
        <f>((Y123*(1-(1+Assumptions!$I$46)^(-1*(G123-Q123))))/Assumptions!$I$46)-((Y123*(1-(1+Assumptions!$I$46)^(-1*(T123))))/Assumptions!$I$46)</f>
        <v>52915.43334117104</v>
      </c>
      <c r="AF123" s="148">
        <f>((Z123*(1-(1+Assumptions!$J$46)^(-1*(G123-Q123))))/Assumptions!$J$46)-((Z123*(1-(1+Assumptions!$J$46)^(-1*(T123))))/Assumptions!$J$46)</f>
        <v>52915.43334117104</v>
      </c>
      <c r="AG123" s="145">
        <v>37134</v>
      </c>
      <c r="AH123" s="148">
        <f>((AI123*(1-(1+Assumptions!$M$40)^(-1*(G123-Q123))))/Assumptions!$M$40)-((AI123*(1-(1+Assumptions!$M$40)^(-1*(T123))))/Assumptions!$M$40)</f>
        <v>56624.525564179086</v>
      </c>
      <c r="AI123" s="412">
        <f t="shared" si="17"/>
        <v>6933.24</v>
      </c>
      <c r="AJ123" s="148">
        <f>((AI123*(1-(1+Assumptions!$L$40)^(-1*(G123-Q123))))/Assumptions!$L$40)-((AI123*(1-(1+Assumptions!$L$40)^(-1*(T123))))/Assumptions!$L$40)</f>
        <v>37660.938820857569</v>
      </c>
      <c r="AK123" s="148">
        <f>((AI123*(1-(1+Assumptions!$L$46)^(-1*(G123-Q123))))/Assumptions!$L$46)-((AI123*(1-(1+Assumptions!$L$46)^(-1*(T123))))/Assumptions!$L$46)</f>
        <v>52915.43334117104</v>
      </c>
      <c r="AL123" s="148"/>
      <c r="AM123" s="4"/>
      <c r="AN123" s="3"/>
      <c r="AO123" s="112"/>
      <c r="AP123" s="112"/>
      <c r="AQ123" s="114"/>
      <c r="AR123" s="116"/>
    </row>
    <row r="124" spans="1:44" x14ac:dyDescent="0.2">
      <c r="A124" s="3" t="s">
        <v>107</v>
      </c>
      <c r="B124" s="26">
        <f t="shared" si="18"/>
        <v>98</v>
      </c>
      <c r="C124" s="4"/>
      <c r="D124" s="257" t="s">
        <v>433</v>
      </c>
      <c r="E124" s="257"/>
      <c r="F124" s="107" t="s">
        <v>210</v>
      </c>
      <c r="G124" s="5">
        <f>IF(F124="f",Assumptions!$E$39,Assumptions!$E$38)</f>
        <v>81.8</v>
      </c>
      <c r="H124" s="112">
        <v>22603</v>
      </c>
      <c r="I124" s="112">
        <v>33944</v>
      </c>
      <c r="J124" s="27">
        <v>36345</v>
      </c>
      <c r="K124" s="28"/>
      <c r="L124" s="95"/>
      <c r="M124" s="245">
        <v>534.38</v>
      </c>
      <c r="N124" s="130"/>
      <c r="O124" s="195">
        <f t="shared" si="12"/>
        <v>6412.5599999999995</v>
      </c>
      <c r="P124" s="40">
        <f t="shared" si="13"/>
        <v>6.5780821917808217</v>
      </c>
      <c r="Q124" s="39">
        <f t="shared" si="14"/>
        <v>39.81095890410959</v>
      </c>
      <c r="T124" s="81">
        <f>IF(Q124&lt;=Assumptions!$E$43,Assumptions!$E$43-Q124,Assumptions!$E$45)</f>
        <v>25.18904109589041</v>
      </c>
      <c r="U124" s="191">
        <f t="shared" si="15"/>
        <v>8.7397260273972606</v>
      </c>
      <c r="V124" s="277">
        <f>((O124*(1-(1+Assumptions!$G$40)^(-1*(G124-Q124))))/Assumptions!$G$40)-((O124*(1-(1+Assumptions!$G$40)^(-1*(T124))))/Assumptions!$G$40)</f>
        <v>6218.153913841059</v>
      </c>
      <c r="W124" s="277">
        <f>((O124*(1-(1+Assumptions!$G$46)^(-1*(G124-Q124))))/Assumptions!$G$46)-((O124*(1-(1+Assumptions!$G$46)^(-1*(T124))))/Assumptions!$G$46)</f>
        <v>15093.331754655112</v>
      </c>
      <c r="X124" s="283">
        <f t="shared" si="16"/>
        <v>6412.5599999999995</v>
      </c>
      <c r="Y124" s="181">
        <f t="shared" si="16"/>
        <v>6412.5599999999995</v>
      </c>
      <c r="Z124" s="181">
        <f t="shared" si="16"/>
        <v>6412.5599999999995</v>
      </c>
      <c r="AA124" s="284">
        <f>((X124*(1-(1+Assumptions!$H$40)^(-1*(G124-Q124))))/Assumptions!$H$40)-((X124*(1-(1+Assumptions!$H$40)^(-1*(T124))))/Assumptions!$H$40)</f>
        <v>6218.153913841059</v>
      </c>
      <c r="AB124" s="284">
        <f>((Y124*(1-(1+Assumptions!$I$40)^(-1*(G124-Q124))))/Assumptions!$I$40)-((Y124*(1-(1+Assumptions!$I$40)^(-1*(T124))))/Assumptions!$I$40)</f>
        <v>6218.153913841059</v>
      </c>
      <c r="AC124" s="285">
        <f>((Z124*(1-(1+Assumptions!$J$40)^(-1*(G124-Q124))))/Assumptions!$J$40)-((Z124*(1-(1+Assumptions!$J$40)^(-1*(T124))))/Assumptions!$J$40)</f>
        <v>6218.153913841059</v>
      </c>
      <c r="AD124" s="148">
        <f>((X124*(1-(1+Assumptions!$H$46)^(-1*(G124-Q124))))/Assumptions!$H$46)-((X124*(1-(1+Assumptions!$H$46)^(-1*(T124))))/Assumptions!$H$46)</f>
        <v>15093.331754655112</v>
      </c>
      <c r="AE124" s="148">
        <f>((Y124*(1-(1+Assumptions!$I$46)^(-1*(G124-Q124))))/Assumptions!$I$46)-((Y124*(1-(1+Assumptions!$I$46)^(-1*(T124))))/Assumptions!$I$46)</f>
        <v>15093.331754655112</v>
      </c>
      <c r="AF124" s="148">
        <f>((Z124*(1-(1+Assumptions!$J$46)^(-1*(G124-Q124))))/Assumptions!$J$46)-((Z124*(1-(1+Assumptions!$J$46)^(-1*(T124))))/Assumptions!$J$46)</f>
        <v>15093.331754655112</v>
      </c>
      <c r="AG124" s="145">
        <v>37134</v>
      </c>
      <c r="AH124" s="148">
        <f>((AI124*(1-(1+Assumptions!$M$40)^(-1*(G124-Q124))))/Assumptions!$M$40)-((AI124*(1-(1+Assumptions!$M$40)^(-1*(T124))))/Assumptions!$M$40)</f>
        <v>17954.693758638343</v>
      </c>
      <c r="AI124" s="412">
        <f t="shared" si="17"/>
        <v>6412.5599999999995</v>
      </c>
      <c r="AJ124" s="148">
        <f>((AI124*(1-(1+Assumptions!$L$40)^(-1*(G124-Q124))))/Assumptions!$L$40)-((AI124*(1-(1+Assumptions!$L$40)^(-1*(T124))))/Assumptions!$L$40)</f>
        <v>6218.153913841059</v>
      </c>
      <c r="AK124" s="148">
        <f>((AI124*(1-(1+Assumptions!$L$46)^(-1*(G124-Q124))))/Assumptions!$L$46)-((AI124*(1-(1+Assumptions!$L$46)^(-1*(T124))))/Assumptions!$L$46)</f>
        <v>15093.331754655112</v>
      </c>
      <c r="AL124" s="148"/>
      <c r="AM124" s="4"/>
      <c r="AN124" s="3"/>
      <c r="AO124" s="112"/>
      <c r="AP124" s="112"/>
      <c r="AQ124" s="114"/>
      <c r="AR124" s="116"/>
    </row>
    <row r="125" spans="1:44" x14ac:dyDescent="0.2">
      <c r="A125" s="3" t="s">
        <v>107</v>
      </c>
      <c r="B125" s="26">
        <f t="shared" si="18"/>
        <v>99</v>
      </c>
      <c r="C125" s="4"/>
      <c r="D125" s="257" t="s">
        <v>434</v>
      </c>
      <c r="E125" s="257"/>
      <c r="F125" s="107" t="s">
        <v>210</v>
      </c>
      <c r="G125" s="5">
        <f>IF(F125="f",Assumptions!$E$39,Assumptions!$E$38)</f>
        <v>81.8</v>
      </c>
      <c r="H125" s="112">
        <v>21994</v>
      </c>
      <c r="I125" s="112">
        <v>32481</v>
      </c>
      <c r="J125" s="27">
        <f>DATE(95,11,29)</f>
        <v>35032</v>
      </c>
      <c r="K125" s="28"/>
      <c r="L125" s="95"/>
      <c r="M125" s="246">
        <v>567.63</v>
      </c>
      <c r="N125" s="131"/>
      <c r="O125" s="195">
        <f t="shared" si="12"/>
        <v>6811.5599999999995</v>
      </c>
      <c r="P125" s="40">
        <f t="shared" si="13"/>
        <v>6.9890410958904106</v>
      </c>
      <c r="Q125" s="39">
        <f t="shared" si="14"/>
        <v>41.479452054794521</v>
      </c>
      <c r="T125" s="81">
        <f>IF(Q125&lt;=Assumptions!$E$43,Assumptions!$E$43-Q125,Assumptions!$E$45)</f>
        <v>23.520547945205479</v>
      </c>
      <c r="U125" s="191">
        <f t="shared" si="15"/>
        <v>12.747945205479452</v>
      </c>
      <c r="V125" s="277">
        <f>((O125*(1-(1+Assumptions!$G$40)^(-1*(G125-Q125))))/Assumptions!$G$40)-((O125*(1-(1+Assumptions!$G$40)^(-1*(T125))))/Assumptions!$G$40)</f>
        <v>7626.4507129986596</v>
      </c>
      <c r="W125" s="277">
        <f>((O125*(1-(1+Assumptions!$G$46)^(-1*(G125-Q125))))/Assumptions!$G$46)-((O125*(1-(1+Assumptions!$G$46)^(-1*(T125))))/Assumptions!$G$46)</f>
        <v>17686.136414688081</v>
      </c>
      <c r="X125" s="283">
        <f t="shared" si="16"/>
        <v>6811.5599999999995</v>
      </c>
      <c r="Y125" s="181">
        <f t="shared" si="16"/>
        <v>6811.5599999999995</v>
      </c>
      <c r="Z125" s="181">
        <f t="shared" si="16"/>
        <v>6811.5599999999995</v>
      </c>
      <c r="AA125" s="284">
        <f>((X125*(1-(1+Assumptions!$H$40)^(-1*(G125-Q125))))/Assumptions!$H$40)-((X125*(1-(1+Assumptions!$H$40)^(-1*(T125))))/Assumptions!$H$40)</f>
        <v>7626.4507129986596</v>
      </c>
      <c r="AB125" s="284">
        <f>((Y125*(1-(1+Assumptions!$I$40)^(-1*(G125-Q125))))/Assumptions!$I$40)-((Y125*(1-(1+Assumptions!$I$40)^(-1*(T125))))/Assumptions!$I$40)</f>
        <v>7626.4507129986596</v>
      </c>
      <c r="AC125" s="285">
        <f>((Z125*(1-(1+Assumptions!$J$40)^(-1*(G125-Q125))))/Assumptions!$J$40)-((Z125*(1-(1+Assumptions!$J$40)^(-1*(T125))))/Assumptions!$J$40)</f>
        <v>7626.4507129986596</v>
      </c>
      <c r="AD125" s="148">
        <f>((X125*(1-(1+Assumptions!$H$46)^(-1*(G125-Q125))))/Assumptions!$H$46)-((X125*(1-(1+Assumptions!$H$46)^(-1*(T125))))/Assumptions!$H$46)</f>
        <v>17686.136414688081</v>
      </c>
      <c r="AE125" s="148">
        <f>((Y125*(1-(1+Assumptions!$I$46)^(-1*(G125-Q125))))/Assumptions!$I$46)-((Y125*(1-(1+Assumptions!$I$46)^(-1*(T125))))/Assumptions!$I$46)</f>
        <v>17686.136414688081</v>
      </c>
      <c r="AF125" s="148">
        <f>((Z125*(1-(1+Assumptions!$J$46)^(-1*(G125-Q125))))/Assumptions!$J$46)-((Z125*(1-(1+Assumptions!$J$46)^(-1*(T125))))/Assumptions!$J$46)</f>
        <v>17686.136414688081</v>
      </c>
      <c r="AG125" s="145">
        <v>37134</v>
      </c>
      <c r="AH125" s="148">
        <f>((AI125*(1-(1+Assumptions!$M$40)^(-1*(G125-Q125))))/Assumptions!$M$40)-((AI125*(1-(1+Assumptions!$M$40)^(-1*(T125))))/Assumptions!$M$40)</f>
        <v>20854.01667606004</v>
      </c>
      <c r="AI125" s="412">
        <f t="shared" si="17"/>
        <v>6811.5599999999995</v>
      </c>
      <c r="AJ125" s="148">
        <f>((AI125*(1-(1+Assumptions!$L$40)^(-1*(G125-Q125))))/Assumptions!$L$40)-((AI125*(1-(1+Assumptions!$L$40)^(-1*(T125))))/Assumptions!$L$40)</f>
        <v>7626.4507129986596</v>
      </c>
      <c r="AK125" s="148">
        <f>((AI125*(1-(1+Assumptions!$L$46)^(-1*(G125-Q125))))/Assumptions!$L$46)-((AI125*(1-(1+Assumptions!$L$46)^(-1*(T125))))/Assumptions!$L$46)</f>
        <v>17686.136414688081</v>
      </c>
      <c r="AL125" s="148"/>
      <c r="AM125" s="4"/>
      <c r="AN125" s="3"/>
      <c r="AO125" s="112"/>
      <c r="AP125" s="112"/>
      <c r="AQ125" s="114"/>
      <c r="AR125" s="116"/>
    </row>
    <row r="126" spans="1:44" x14ac:dyDescent="0.2">
      <c r="A126" s="3" t="s">
        <v>107</v>
      </c>
      <c r="B126" s="26">
        <f t="shared" si="18"/>
        <v>100</v>
      </c>
      <c r="C126" s="4"/>
      <c r="D126" s="257" t="s">
        <v>435</v>
      </c>
      <c r="E126" s="257"/>
      <c r="F126" s="107" t="s">
        <v>210</v>
      </c>
      <c r="G126" s="5">
        <f>IF(F126="f",Assumptions!$E$39,Assumptions!$E$38)</f>
        <v>81.8</v>
      </c>
      <c r="H126" s="112">
        <v>19584</v>
      </c>
      <c r="I126" s="112">
        <v>30654</v>
      </c>
      <c r="J126" s="27">
        <f>DATE(90,9,2)</f>
        <v>33118</v>
      </c>
      <c r="K126" s="28"/>
      <c r="L126" s="95"/>
      <c r="M126" s="245">
        <v>311.11</v>
      </c>
      <c r="N126" s="130"/>
      <c r="O126" s="195">
        <f t="shared" si="12"/>
        <v>3733.32</v>
      </c>
      <c r="P126" s="40">
        <f t="shared" si="13"/>
        <v>6.7506849315068491</v>
      </c>
      <c r="Q126" s="39">
        <f t="shared" si="14"/>
        <v>48.082191780821915</v>
      </c>
      <c r="T126" s="81">
        <f>IF(Q126&lt;=Assumptions!$E$43,Assumptions!$E$43-Q126,Assumptions!$E$45)</f>
        <v>16.917808219178085</v>
      </c>
      <c r="U126" s="191">
        <f t="shared" si="15"/>
        <v>17.753424657534246</v>
      </c>
      <c r="V126" s="277">
        <f>((O126*(1-(1+Assumptions!$G$40)^(-1*(G126-Q126))))/Assumptions!$G$40)-((O126*(1-(1+Assumptions!$G$40)^(-1*(T126))))/Assumptions!$G$40)</f>
        <v>7383.9461892029176</v>
      </c>
      <c r="W126" s="277">
        <f>((O126*(1-(1+Assumptions!$G$46)^(-1*(G126-Q126))))/Assumptions!$G$46)-((O126*(1-(1+Assumptions!$G$46)^(-1*(T126))))/Assumptions!$G$46)</f>
        <v>14295.26846014538</v>
      </c>
      <c r="X126" s="283">
        <f t="shared" si="16"/>
        <v>3733.32</v>
      </c>
      <c r="Y126" s="181">
        <f t="shared" si="16"/>
        <v>3733.32</v>
      </c>
      <c r="Z126" s="181">
        <f t="shared" si="16"/>
        <v>3733.32</v>
      </c>
      <c r="AA126" s="284">
        <f>((X126*(1-(1+Assumptions!$H$40)^(-1*(G126-Q126))))/Assumptions!$H$40)-((X126*(1-(1+Assumptions!$H$40)^(-1*(T126))))/Assumptions!$H$40)</f>
        <v>7383.9461892029176</v>
      </c>
      <c r="AB126" s="284">
        <f>((Y126*(1-(1+Assumptions!$I$40)^(-1*(G126-Q126))))/Assumptions!$I$40)-((Y126*(1-(1+Assumptions!$I$40)^(-1*(T126))))/Assumptions!$I$40)</f>
        <v>7383.9461892029176</v>
      </c>
      <c r="AC126" s="285">
        <f>((Z126*(1-(1+Assumptions!$J$40)^(-1*(G126-Q126))))/Assumptions!$J$40)-((Z126*(1-(1+Assumptions!$J$40)^(-1*(T126))))/Assumptions!$J$40)</f>
        <v>7383.9461892029176</v>
      </c>
      <c r="AD126" s="148">
        <f>((X126*(1-(1+Assumptions!$H$46)^(-1*(G126-Q126))))/Assumptions!$H$46)-((X126*(1-(1+Assumptions!$H$46)^(-1*(T126))))/Assumptions!$H$46)</f>
        <v>14295.26846014538</v>
      </c>
      <c r="AE126" s="148">
        <f>((Y126*(1-(1+Assumptions!$I$46)^(-1*(G126-Q126))))/Assumptions!$I$46)-((Y126*(1-(1+Assumptions!$I$46)^(-1*(T126))))/Assumptions!$I$46)</f>
        <v>14295.26846014538</v>
      </c>
      <c r="AF126" s="148">
        <f>((Z126*(1-(1+Assumptions!$J$46)^(-1*(G126-Q126))))/Assumptions!$J$46)-((Z126*(1-(1+Assumptions!$J$46)^(-1*(T126))))/Assumptions!$J$46)</f>
        <v>14295.26846014538</v>
      </c>
      <c r="AG126" s="145">
        <v>37134</v>
      </c>
      <c r="AH126" s="148">
        <f>((AI126*(1-(1+Assumptions!$M$40)^(-1*(G126-Q126))))/Assumptions!$M$40)-((AI126*(1-(1+Assumptions!$M$40)^(-1*(T126))))/Assumptions!$M$40)</f>
        <v>16276.772217241363</v>
      </c>
      <c r="AI126" s="412">
        <f t="shared" si="17"/>
        <v>3733.32</v>
      </c>
      <c r="AJ126" s="148">
        <f>((AI126*(1-(1+Assumptions!$L$40)^(-1*(G126-Q126))))/Assumptions!$L$40)-((AI126*(1-(1+Assumptions!$L$40)^(-1*(T126))))/Assumptions!$L$40)</f>
        <v>7383.9461892029176</v>
      </c>
      <c r="AK126" s="148">
        <f>((AI126*(1-(1+Assumptions!$L$46)^(-1*(G126-Q126))))/Assumptions!$L$46)-((AI126*(1-(1+Assumptions!$L$46)^(-1*(T126))))/Assumptions!$L$46)</f>
        <v>14295.26846014538</v>
      </c>
      <c r="AL126" s="148"/>
      <c r="AM126" s="4"/>
      <c r="AN126" s="3"/>
      <c r="AO126" s="112"/>
      <c r="AP126" s="112"/>
      <c r="AQ126" s="114"/>
      <c r="AR126" s="116"/>
    </row>
    <row r="127" spans="1:44" x14ac:dyDescent="0.2">
      <c r="A127" s="3" t="s">
        <v>107</v>
      </c>
      <c r="B127" s="26">
        <f t="shared" si="18"/>
        <v>101</v>
      </c>
      <c r="C127" s="4"/>
      <c r="D127" s="257" t="s">
        <v>436</v>
      </c>
      <c r="E127" s="257"/>
      <c r="F127" s="107" t="s">
        <v>210</v>
      </c>
      <c r="G127" s="5">
        <f>IF(F127="f",Assumptions!$E$39,Assumptions!$E$38)</f>
        <v>81.8</v>
      </c>
      <c r="H127" s="112">
        <v>14672</v>
      </c>
      <c r="I127" s="102">
        <v>23161</v>
      </c>
      <c r="J127" s="27">
        <f>DATE(87,1,1)</f>
        <v>31778</v>
      </c>
      <c r="K127" s="28"/>
      <c r="L127" s="95"/>
      <c r="M127" s="245">
        <v>1059.25</v>
      </c>
      <c r="N127" s="130"/>
      <c r="O127" s="195">
        <f t="shared" si="12"/>
        <v>12711</v>
      </c>
      <c r="P127" s="40">
        <f t="shared" si="13"/>
        <v>23.608219178082191</v>
      </c>
      <c r="Q127" s="39">
        <f t="shared" si="14"/>
        <v>61.539726027397258</v>
      </c>
      <c r="T127" s="81">
        <f>IF(Q127&lt;=Assumptions!$E$43,Assumptions!$E$43-Q127,Assumptions!$E$45)</f>
        <v>3.4602739726027423</v>
      </c>
      <c r="U127" s="191">
        <f t="shared" si="15"/>
        <v>38.282191780821918</v>
      </c>
      <c r="V127" s="277">
        <f>((O127*(1-(1+Assumptions!$G$40)^(-1*(G127-Q127))))/Assumptions!$G$40)-((O127*(1-(1+Assumptions!$G$40)^(-1*(T127))))/Assumptions!$G$40)</f>
        <v>80175.449356333018</v>
      </c>
      <c r="W127" s="277">
        <f>((O127*(1-(1+Assumptions!$G$46)^(-1*(G127-Q127))))/Assumptions!$G$46)-((O127*(1-(1+Assumptions!$G$46)^(-1*(T127))))/Assumptions!$G$46)</f>
        <v>107433.23570776242</v>
      </c>
      <c r="X127" s="283">
        <f t="shared" si="16"/>
        <v>12711</v>
      </c>
      <c r="Y127" s="181">
        <f t="shared" si="16"/>
        <v>12711</v>
      </c>
      <c r="Z127" s="181">
        <f t="shared" si="16"/>
        <v>12711</v>
      </c>
      <c r="AA127" s="284">
        <f>((X127*(1-(1+Assumptions!$H$40)^(-1*(G127-Q127))))/Assumptions!$H$40)-((X127*(1-(1+Assumptions!$H$40)^(-1*(T127))))/Assumptions!$H$40)</f>
        <v>80175.449356333018</v>
      </c>
      <c r="AB127" s="284">
        <f>((Y127*(1-(1+Assumptions!$I$40)^(-1*(G127-Q127))))/Assumptions!$I$40)-((Y127*(1-(1+Assumptions!$I$40)^(-1*(T127))))/Assumptions!$I$40)</f>
        <v>80175.449356333018</v>
      </c>
      <c r="AC127" s="285">
        <f>((Z127*(1-(1+Assumptions!$J$40)^(-1*(G127-Q127))))/Assumptions!$J$40)-((Z127*(1-(1+Assumptions!$J$40)^(-1*(T127))))/Assumptions!$J$40)</f>
        <v>80175.449356333018</v>
      </c>
      <c r="AD127" s="148">
        <f>((X127*(1-(1+Assumptions!$H$46)^(-1*(G127-Q127))))/Assumptions!$H$46)-((X127*(1-(1+Assumptions!$H$46)^(-1*(T127))))/Assumptions!$H$46)</f>
        <v>107433.23570776242</v>
      </c>
      <c r="AE127" s="148">
        <f>((Y127*(1-(1+Assumptions!$I$46)^(-1*(G127-Q127))))/Assumptions!$I$46)-((Y127*(1-(1+Assumptions!$I$46)^(-1*(T127))))/Assumptions!$I$46)</f>
        <v>107433.23570776242</v>
      </c>
      <c r="AF127" s="148">
        <f>((Z127*(1-(1+Assumptions!$J$46)^(-1*(G127-Q127))))/Assumptions!$J$46)-((Z127*(1-(1+Assumptions!$J$46)^(-1*(T127))))/Assumptions!$J$46)</f>
        <v>107433.23570776242</v>
      </c>
      <c r="AG127" s="145">
        <v>37134</v>
      </c>
      <c r="AH127" s="148">
        <f>((AI127*(1-(1+Assumptions!$M$40)^(-1*(G127-Q127))))/Assumptions!$M$40)-((AI127*(1-(1+Assumptions!$M$40)^(-1*(T127))))/Assumptions!$M$40)</f>
        <v>113913.07081433534</v>
      </c>
      <c r="AI127" s="412">
        <f t="shared" si="17"/>
        <v>12711</v>
      </c>
      <c r="AJ127" s="148">
        <f>((AI127*(1-(1+Assumptions!$L$40)^(-1*(G127-Q127))))/Assumptions!$L$40)-((AI127*(1-(1+Assumptions!$L$40)^(-1*(T127))))/Assumptions!$L$40)</f>
        <v>80175.449356333018</v>
      </c>
      <c r="AK127" s="148">
        <f>((AI127*(1-(1+Assumptions!$L$46)^(-1*(G127-Q127))))/Assumptions!$L$46)-((AI127*(1-(1+Assumptions!$L$46)^(-1*(T127))))/Assumptions!$L$46)</f>
        <v>107433.23570776242</v>
      </c>
      <c r="AL127" s="148"/>
      <c r="AM127" s="4"/>
      <c r="AN127" s="3"/>
      <c r="AO127" s="112"/>
      <c r="AP127" s="102"/>
      <c r="AQ127" s="114"/>
      <c r="AR127" s="116"/>
    </row>
    <row r="128" spans="1:44" x14ac:dyDescent="0.2">
      <c r="B128" s="25"/>
      <c r="D128" s="13" t="s">
        <v>10</v>
      </c>
      <c r="E128" s="14" t="s">
        <v>9</v>
      </c>
      <c r="F128" s="102"/>
      <c r="G128" s="5"/>
      <c r="H128" s="112"/>
      <c r="J128" s="25"/>
      <c r="K128" s="25"/>
      <c r="L128" s="96"/>
      <c r="M128" s="245"/>
      <c r="N128" s="130"/>
      <c r="O128" s="195"/>
      <c r="P128" s="40"/>
      <c r="Q128" s="39"/>
      <c r="T128" s="81"/>
      <c r="U128" s="191"/>
      <c r="V128" s="277"/>
      <c r="W128" s="277"/>
      <c r="X128" s="299"/>
      <c r="Y128" s="284"/>
      <c r="Z128" s="284"/>
      <c r="AA128" s="284"/>
      <c r="AB128" s="284"/>
      <c r="AC128" s="285"/>
      <c r="AD128" s="284"/>
      <c r="AE128" s="284"/>
      <c r="AF128" s="284"/>
      <c r="AG128" s="145"/>
      <c r="AI128" s="412"/>
      <c r="AM128" s="3"/>
      <c r="AN128" s="3"/>
      <c r="AO128" s="112"/>
      <c r="AP128" s="104"/>
      <c r="AQ128" s="114"/>
      <c r="AR128" s="116"/>
    </row>
    <row r="129" spans="1:44" x14ac:dyDescent="0.2">
      <c r="A129" s="3" t="s">
        <v>107</v>
      </c>
      <c r="B129" s="29">
        <f>SUM(B127+1)</f>
        <v>102</v>
      </c>
      <c r="C129" s="4"/>
      <c r="D129" s="257" t="s">
        <v>437</v>
      </c>
      <c r="E129" s="257"/>
      <c r="F129" s="107" t="s">
        <v>211</v>
      </c>
      <c r="G129" s="5">
        <f>IF(F129="f",Assumptions!$E$39,Assumptions!$E$38)</f>
        <v>89.3</v>
      </c>
      <c r="H129" s="112">
        <v>17895</v>
      </c>
      <c r="I129" s="112">
        <v>30068</v>
      </c>
      <c r="J129" s="27">
        <f>DATE(93,5,18)</f>
        <v>34107</v>
      </c>
      <c r="K129" s="28"/>
      <c r="L129" s="95"/>
      <c r="M129" s="245">
        <v>58.33</v>
      </c>
      <c r="N129" s="130"/>
      <c r="O129" s="195">
        <f t="shared" ref="O129:O138" si="19">M129*12</f>
        <v>699.96</v>
      </c>
      <c r="P129" s="40">
        <f t="shared" ref="P129:P138" si="20">(J129-I129)/365</f>
        <v>11.065753424657535</v>
      </c>
      <c r="Q129" s="39">
        <f t="shared" ref="Q129:Q138" si="21">SUM(AG129-H129)/365</f>
        <v>52.709589041095889</v>
      </c>
      <c r="T129" s="81">
        <f>IF(Q129&lt;=Assumptions!$E$43,Assumptions!$E$43-Q129,Assumptions!$E$45)</f>
        <v>12.290410958904111</v>
      </c>
      <c r="U129" s="191">
        <f t="shared" ref="U129:U138" si="22">(AG129-I129)/365</f>
        <v>19.358904109589041</v>
      </c>
      <c r="V129" s="277">
        <f>((O129*(1-(1+Assumptions!$G$40)^(-1*(G129-Q129))))/Assumptions!$G$40)-((O129*(1-(1+Assumptions!$G$40)^(-1*(T129))))/Assumptions!$G$40)</f>
        <v>2364.5837240746914</v>
      </c>
      <c r="W129" s="277">
        <f>((O129*(1-(1+Assumptions!$G$46)^(-1*(G129-Q129))))/Assumptions!$G$46)-((O129*(1-(1+Assumptions!$G$46)^(-1*(T129))))/Assumptions!$G$46)</f>
        <v>4263.104415045621</v>
      </c>
      <c r="X129" s="283">
        <f t="shared" ref="X129:Z138" si="23">$M129*12</f>
        <v>699.96</v>
      </c>
      <c r="Y129" s="181">
        <f t="shared" si="23"/>
        <v>699.96</v>
      </c>
      <c r="Z129" s="181">
        <f t="shared" si="23"/>
        <v>699.96</v>
      </c>
      <c r="AA129" s="284">
        <f>((X129*(1-(1+Assumptions!$H$40)^(-1*(G129-Q129))))/Assumptions!$H$40)-((X129*(1-(1+Assumptions!$H$40)^(-1*(T129))))/Assumptions!$H$40)</f>
        <v>2364.5837240746914</v>
      </c>
      <c r="AB129" s="284">
        <f>((Y129*(1-(1+Assumptions!$I$40)^(-1*(G129-Q129))))/Assumptions!$I$40)-((Y129*(1-(1+Assumptions!$I$40)^(-1*(T129))))/Assumptions!$I$40)</f>
        <v>2364.5837240746914</v>
      </c>
      <c r="AC129" s="285">
        <f>((Z129*(1-(1+Assumptions!$J$40)^(-1*(G129-Q129))))/Assumptions!$J$40)-((Z129*(1-(1+Assumptions!$J$40)^(-1*(T129))))/Assumptions!$J$40)</f>
        <v>2364.5837240746914</v>
      </c>
      <c r="AD129" s="148">
        <f>((X129*(1-(1+Assumptions!$H$46)^(-1*(G129-Q129))))/Assumptions!$H$46)-((X129*(1-(1+Assumptions!$H$46)^(-1*(T129))))/Assumptions!$H$46)</f>
        <v>4263.104415045621</v>
      </c>
      <c r="AE129" s="148">
        <f>((Y129*(1-(1+Assumptions!$I$46)^(-1*(G129-Q129))))/Assumptions!$I$46)-((Y129*(1-(1+Assumptions!$I$46)^(-1*(T129))))/Assumptions!$I$46)</f>
        <v>4263.104415045621</v>
      </c>
      <c r="AF129" s="148">
        <f>((Z129*(1-(1+Assumptions!$J$46)^(-1*(G129-Q129))))/Assumptions!$J$46)-((Z129*(1-(1+Assumptions!$J$46)^(-1*(T129))))/Assumptions!$J$46)</f>
        <v>4263.104415045621</v>
      </c>
      <c r="AG129" s="145">
        <v>37134</v>
      </c>
      <c r="AH129" s="148">
        <f>((AI129*(1-(1+Assumptions!$M$40)^(-1*(G129-Q129))))/Assumptions!$M$40)-((AI129*(1-(1+Assumptions!$M$40)^(-1*(T129))))/Assumptions!$M$40)</f>
        <v>4796.3565112709948</v>
      </c>
      <c r="AI129" s="412">
        <f t="shared" ref="AI129:AI138" si="24">O129</f>
        <v>699.96</v>
      </c>
      <c r="AJ129" s="148">
        <f>((AI129*(1-(1+Assumptions!$L$40)^(-1*(G129-Q129))))/Assumptions!$L$40)-((AI129*(1-(1+Assumptions!$L$40)^(-1*(T129))))/Assumptions!$L$40)</f>
        <v>2364.5837240746914</v>
      </c>
      <c r="AK129" s="148">
        <f>((AI129*(1-(1+Assumptions!$L$46)^(-1*(G129-Q129))))/Assumptions!$L$46)-((AI129*(1-(1+Assumptions!$L$46)^(-1*(T129))))/Assumptions!$L$46)</f>
        <v>4263.104415045621</v>
      </c>
      <c r="AL129" s="148"/>
      <c r="AM129" s="4"/>
      <c r="AN129" s="3"/>
      <c r="AO129" s="112"/>
      <c r="AP129" s="112"/>
      <c r="AQ129" s="114"/>
      <c r="AR129" s="116"/>
    </row>
    <row r="130" spans="1:44" x14ac:dyDescent="0.2">
      <c r="A130" s="3" t="s">
        <v>107</v>
      </c>
      <c r="B130" s="29">
        <f t="shared" ref="B130:B138" si="25">SUM(B129+1)</f>
        <v>103</v>
      </c>
      <c r="C130" s="4"/>
      <c r="D130" s="257" t="s">
        <v>438</v>
      </c>
      <c r="E130" s="257"/>
      <c r="F130" s="107" t="s">
        <v>211</v>
      </c>
      <c r="G130" s="5">
        <f>IF(F130="f",Assumptions!$E$39,Assumptions!$E$38)</f>
        <v>89.3</v>
      </c>
      <c r="H130" s="112">
        <v>15018</v>
      </c>
      <c r="I130" s="112">
        <v>29387</v>
      </c>
      <c r="J130" s="27">
        <f>DATE(96,7,12)</f>
        <v>35258</v>
      </c>
      <c r="K130" s="28"/>
      <c r="L130" s="95"/>
      <c r="M130" s="245">
        <v>147.78</v>
      </c>
      <c r="N130" s="130"/>
      <c r="O130" s="195">
        <f t="shared" si="19"/>
        <v>1773.3600000000001</v>
      </c>
      <c r="P130" s="40">
        <f t="shared" si="20"/>
        <v>16.084931506849315</v>
      </c>
      <c r="Q130" s="39">
        <f t="shared" si="21"/>
        <v>60.591780821917808</v>
      </c>
      <c r="T130" s="81">
        <f>IF(Q130&lt;=Assumptions!$E$43,Assumptions!$E$43-Q130,Assumptions!$E$45)</f>
        <v>4.4082191780821915</v>
      </c>
      <c r="U130" s="191">
        <f t="shared" si="22"/>
        <v>21.224657534246575</v>
      </c>
      <c r="V130" s="277">
        <f>((O130*(1-(1+Assumptions!$G$40)^(-1*(G130-Q130))))/Assumptions!$G$40)-((O130*(1-(1+Assumptions!$G$40)^(-1*(T130))))/Assumptions!$G$40)</f>
        <v>11816.292043472611</v>
      </c>
      <c r="W130" s="277">
        <f>((O130*(1-(1+Assumptions!$G$46)^(-1*(G130-Q130))))/Assumptions!$G$46)-((O130*(1-(1+Assumptions!$G$46)^(-1*(T130))))/Assumptions!$G$46)</f>
        <v>17173.248200367751</v>
      </c>
      <c r="X130" s="283">
        <f t="shared" si="23"/>
        <v>1773.3600000000001</v>
      </c>
      <c r="Y130" s="181">
        <f t="shared" si="23"/>
        <v>1773.3600000000001</v>
      </c>
      <c r="Z130" s="181">
        <f t="shared" si="23"/>
        <v>1773.3600000000001</v>
      </c>
      <c r="AA130" s="284">
        <f>((X130*(1-(1+Assumptions!$H$40)^(-1*(G130-Q130))))/Assumptions!$H$40)-((X130*(1-(1+Assumptions!$H$40)^(-1*(T130))))/Assumptions!$H$40)</f>
        <v>11816.292043472611</v>
      </c>
      <c r="AB130" s="284">
        <f>((Y130*(1-(1+Assumptions!$I$40)^(-1*(G130-Q130))))/Assumptions!$I$40)-((Y130*(1-(1+Assumptions!$I$40)^(-1*(T130))))/Assumptions!$I$40)</f>
        <v>11816.292043472611</v>
      </c>
      <c r="AC130" s="285">
        <f>((Z130*(1-(1+Assumptions!$J$40)^(-1*(G130-Q130))))/Assumptions!$J$40)-((Z130*(1-(1+Assumptions!$J$40)^(-1*(T130))))/Assumptions!$J$40)</f>
        <v>11816.292043472611</v>
      </c>
      <c r="AD130" s="148">
        <f>((X130*(1-(1+Assumptions!$H$46)^(-1*(G130-Q130))))/Assumptions!$H$46)-((X130*(1-(1+Assumptions!$H$46)^(-1*(T130))))/Assumptions!$H$46)</f>
        <v>17173.248200367751</v>
      </c>
      <c r="AE130" s="148">
        <f>((Y130*(1-(1+Assumptions!$I$46)^(-1*(G130-Q130))))/Assumptions!$I$46)-((Y130*(1-(1+Assumptions!$I$46)^(-1*(T130))))/Assumptions!$I$46)</f>
        <v>17173.248200367751</v>
      </c>
      <c r="AF130" s="148">
        <f>((Z130*(1-(1+Assumptions!$J$46)^(-1*(G130-Q130))))/Assumptions!$J$46)-((Z130*(1-(1+Assumptions!$J$46)^(-1*(T130))))/Assumptions!$J$46)</f>
        <v>17173.248200367751</v>
      </c>
      <c r="AG130" s="145">
        <v>37134</v>
      </c>
      <c r="AH130" s="148">
        <f>((AI130*(1-(1+Assumptions!$M$40)^(-1*(G130-Q130))))/Assumptions!$M$40)-((AI130*(1-(1+Assumptions!$M$40)^(-1*(T130))))/Assumptions!$M$40)</f>
        <v>18531.709709418563</v>
      </c>
      <c r="AI130" s="412">
        <f t="shared" si="24"/>
        <v>1773.3600000000001</v>
      </c>
      <c r="AJ130" s="148">
        <f>((AI130*(1-(1+Assumptions!$L$40)^(-1*(G130-Q130))))/Assumptions!$L$40)-((AI130*(1-(1+Assumptions!$L$40)^(-1*(T130))))/Assumptions!$L$40)</f>
        <v>11816.292043472611</v>
      </c>
      <c r="AK130" s="148">
        <f>((AI130*(1-(1+Assumptions!$L$46)^(-1*(G130-Q130))))/Assumptions!$L$46)-((AI130*(1-(1+Assumptions!$L$46)^(-1*(T130))))/Assumptions!$L$46)</f>
        <v>17173.248200367751</v>
      </c>
      <c r="AL130" s="148"/>
      <c r="AM130" s="4"/>
      <c r="AN130" s="3"/>
      <c r="AO130" s="112"/>
      <c r="AP130" s="112"/>
      <c r="AQ130" s="114"/>
      <c r="AR130" s="116"/>
    </row>
    <row r="131" spans="1:44" x14ac:dyDescent="0.2">
      <c r="A131" s="3" t="s">
        <v>107</v>
      </c>
      <c r="B131" s="29">
        <f t="shared" si="25"/>
        <v>104</v>
      </c>
      <c r="C131" s="4"/>
      <c r="D131" s="257" t="s">
        <v>439</v>
      </c>
      <c r="E131" s="257"/>
      <c r="F131" s="107" t="s">
        <v>210</v>
      </c>
      <c r="G131" s="5">
        <f>IF(F131="f",Assumptions!$E$39,Assumptions!$E$38)</f>
        <v>81.8</v>
      </c>
      <c r="H131" s="112">
        <v>16564</v>
      </c>
      <c r="I131" s="112">
        <v>25852</v>
      </c>
      <c r="J131" s="27">
        <f>DATE(94,1,28)</f>
        <v>34362</v>
      </c>
      <c r="K131" s="28"/>
      <c r="L131" s="95"/>
      <c r="M131" s="245">
        <v>302.08</v>
      </c>
      <c r="N131" s="130"/>
      <c r="O131" s="195">
        <f t="shared" si="19"/>
        <v>3624.96</v>
      </c>
      <c r="P131" s="40">
        <f t="shared" si="20"/>
        <v>23.315068493150687</v>
      </c>
      <c r="Q131" s="39">
        <f t="shared" si="21"/>
        <v>56.356164383561641</v>
      </c>
      <c r="T131" s="81">
        <f>IF(Q131&lt;=Assumptions!$E$43,Assumptions!$E$43-Q131,Assumptions!$E$45)</f>
        <v>8.6438356164383592</v>
      </c>
      <c r="U131" s="191">
        <f t="shared" si="22"/>
        <v>30.909589041095892</v>
      </c>
      <c r="V131" s="277">
        <f>((O131*(1-(1+Assumptions!$G$40)^(-1*(G131-Q131))))/Assumptions!$G$40)-((O131*(1-(1+Assumptions!$G$40)^(-1*(T131))))/Assumptions!$G$40)</f>
        <v>14627.238524634009</v>
      </c>
      <c r="W131" s="277">
        <f>((O131*(1-(1+Assumptions!$G$46)^(-1*(G131-Q131))))/Assumptions!$G$46)-((O131*(1-(1+Assumptions!$G$46)^(-1*(T131))))/Assumptions!$G$46)</f>
        <v>22584.669746528063</v>
      </c>
      <c r="X131" s="283">
        <f t="shared" si="23"/>
        <v>3624.96</v>
      </c>
      <c r="Y131" s="181">
        <f t="shared" si="23"/>
        <v>3624.96</v>
      </c>
      <c r="Z131" s="181">
        <f t="shared" si="23"/>
        <v>3624.96</v>
      </c>
      <c r="AA131" s="284">
        <f>((X131*(1-(1+Assumptions!$H$40)^(-1*(G131-Q131))))/Assumptions!$H$40)-((X131*(1-(1+Assumptions!$H$40)^(-1*(T131))))/Assumptions!$H$40)</f>
        <v>14627.238524634009</v>
      </c>
      <c r="AB131" s="284">
        <f>((Y131*(1-(1+Assumptions!$I$40)^(-1*(G131-Q131))))/Assumptions!$I$40)-((Y131*(1-(1+Assumptions!$I$40)^(-1*(T131))))/Assumptions!$I$40)</f>
        <v>14627.238524634009</v>
      </c>
      <c r="AC131" s="285">
        <f>((Z131*(1-(1+Assumptions!$J$40)^(-1*(G131-Q131))))/Assumptions!$J$40)-((Z131*(1-(1+Assumptions!$J$40)^(-1*(T131))))/Assumptions!$J$40)</f>
        <v>14627.238524634009</v>
      </c>
      <c r="AD131" s="148">
        <f>((X131*(1-(1+Assumptions!$H$46)^(-1*(G131-Q131))))/Assumptions!$H$46)-((X131*(1-(1+Assumptions!$H$46)^(-1*(T131))))/Assumptions!$H$46)</f>
        <v>22584.669746528063</v>
      </c>
      <c r="AE131" s="148">
        <f>((Y131*(1-(1+Assumptions!$I$46)^(-1*(G131-Q131))))/Assumptions!$I$46)-((Y131*(1-(1+Assumptions!$I$46)^(-1*(T131))))/Assumptions!$I$46)</f>
        <v>22584.669746528063</v>
      </c>
      <c r="AF131" s="148">
        <f>((Z131*(1-(1+Assumptions!$J$46)^(-1*(G131-Q131))))/Assumptions!$J$46)-((Z131*(1-(1+Assumptions!$J$46)^(-1*(T131))))/Assumptions!$J$46)</f>
        <v>22584.669746528063</v>
      </c>
      <c r="AG131" s="145">
        <v>37134</v>
      </c>
      <c r="AH131" s="148">
        <f>((AI131*(1-(1+Assumptions!$M$40)^(-1*(G131-Q131))))/Assumptions!$M$40)-((AI131*(1-(1+Assumptions!$M$40)^(-1*(T131))))/Assumptions!$M$40)</f>
        <v>24613.110507212488</v>
      </c>
      <c r="AI131" s="412">
        <f t="shared" si="24"/>
        <v>3624.96</v>
      </c>
      <c r="AJ131" s="148">
        <f>((AI131*(1-(1+Assumptions!$L$40)^(-1*(G131-Q131))))/Assumptions!$L$40)-((AI131*(1-(1+Assumptions!$L$40)^(-1*(T131))))/Assumptions!$L$40)</f>
        <v>14627.238524634009</v>
      </c>
      <c r="AK131" s="148">
        <f>((AI131*(1-(1+Assumptions!$L$46)^(-1*(G131-Q131))))/Assumptions!$L$46)-((AI131*(1-(1+Assumptions!$L$46)^(-1*(T131))))/Assumptions!$L$46)</f>
        <v>22584.669746528063</v>
      </c>
      <c r="AL131" s="148"/>
      <c r="AM131" s="4"/>
      <c r="AN131" s="3"/>
      <c r="AO131" s="112"/>
      <c r="AP131" s="112"/>
      <c r="AQ131" s="114"/>
      <c r="AR131" s="116"/>
    </row>
    <row r="132" spans="1:44" x14ac:dyDescent="0.2">
      <c r="A132" s="3" t="s">
        <v>107</v>
      </c>
      <c r="B132" s="29">
        <f t="shared" si="25"/>
        <v>105</v>
      </c>
      <c r="C132" s="4"/>
      <c r="D132" s="257" t="s">
        <v>440</v>
      </c>
      <c r="E132" s="257"/>
      <c r="F132" s="107" t="s">
        <v>211</v>
      </c>
      <c r="G132" s="5">
        <f>IF(F132="f",Assumptions!$E$39,Assumptions!$E$38)</f>
        <v>89.3</v>
      </c>
      <c r="H132" s="112">
        <v>17974</v>
      </c>
      <c r="I132" s="112">
        <v>29471</v>
      </c>
      <c r="J132" s="27">
        <f>DATE(92,6,1)</f>
        <v>33756</v>
      </c>
      <c r="K132" s="28"/>
      <c r="L132" s="95"/>
      <c r="M132" s="245">
        <v>54.17</v>
      </c>
      <c r="N132" s="130"/>
      <c r="O132" s="195">
        <f t="shared" si="19"/>
        <v>650.04</v>
      </c>
      <c r="P132" s="40">
        <f t="shared" si="20"/>
        <v>11.739726027397261</v>
      </c>
      <c r="Q132" s="39">
        <f t="shared" si="21"/>
        <v>52.493150684931507</v>
      </c>
      <c r="T132" s="81">
        <f>IF(Q132&lt;=Assumptions!$E$43,Assumptions!$E$43-Q132,Assumptions!$E$45)</f>
        <v>12.506849315068493</v>
      </c>
      <c r="U132" s="191">
        <f t="shared" si="22"/>
        <v>20.994520547945207</v>
      </c>
      <c r="V132" s="277">
        <f>((O132*(1-(1+Assumptions!$G$40)^(-1*(G132-Q132))))/Assumptions!$G$40)-((O132*(1-(1+Assumptions!$G$40)^(-1*(T132))))/Assumptions!$G$40)</f>
        <v>2155.3659882120155</v>
      </c>
      <c r="W132" s="277">
        <f>((O132*(1-(1+Assumptions!$G$46)^(-1*(G132-Q132))))/Assumptions!$G$46)-((O132*(1-(1+Assumptions!$G$46)^(-1*(T132))))/Assumptions!$G$46)</f>
        <v>3908.9712634639318</v>
      </c>
      <c r="X132" s="283">
        <f t="shared" si="23"/>
        <v>650.04</v>
      </c>
      <c r="Y132" s="181">
        <f t="shared" si="23"/>
        <v>650.04</v>
      </c>
      <c r="Z132" s="181">
        <f t="shared" si="23"/>
        <v>650.04</v>
      </c>
      <c r="AA132" s="284">
        <f>((X132*(1-(1+Assumptions!$H$40)^(-1*(G132-Q132))))/Assumptions!$H$40)-((X132*(1-(1+Assumptions!$H$40)^(-1*(T132))))/Assumptions!$H$40)</f>
        <v>2155.3659882120155</v>
      </c>
      <c r="AB132" s="284">
        <f>((Y132*(1-(1+Assumptions!$I$40)^(-1*(G132-Q132))))/Assumptions!$I$40)-((Y132*(1-(1+Assumptions!$I$40)^(-1*(T132))))/Assumptions!$I$40)</f>
        <v>2155.3659882120155</v>
      </c>
      <c r="AC132" s="285">
        <f>((Z132*(1-(1+Assumptions!$J$40)^(-1*(G132-Q132))))/Assumptions!$J$40)-((Z132*(1-(1+Assumptions!$J$40)^(-1*(T132))))/Assumptions!$J$40)</f>
        <v>2155.3659882120155</v>
      </c>
      <c r="AD132" s="148">
        <f>((X132*(1-(1+Assumptions!$H$46)^(-1*(G132-Q132))))/Assumptions!$H$46)-((X132*(1-(1+Assumptions!$H$46)^(-1*(T132))))/Assumptions!$H$46)</f>
        <v>3908.9712634639318</v>
      </c>
      <c r="AE132" s="148">
        <f>((Y132*(1-(1+Assumptions!$I$46)^(-1*(G132-Q132))))/Assumptions!$I$46)-((Y132*(1-(1+Assumptions!$I$46)^(-1*(T132))))/Assumptions!$I$46)</f>
        <v>3908.9712634639318</v>
      </c>
      <c r="AF132" s="148">
        <f>((Z132*(1-(1+Assumptions!$J$46)^(-1*(G132-Q132))))/Assumptions!$J$46)-((Z132*(1-(1+Assumptions!$J$46)^(-1*(T132))))/Assumptions!$J$46)</f>
        <v>3908.9712634639318</v>
      </c>
      <c r="AG132" s="145">
        <v>37134</v>
      </c>
      <c r="AH132" s="148">
        <f>((AI132*(1-(1+Assumptions!$M$40)^(-1*(G132-Q132))))/Assumptions!$M$40)-((AI132*(1-(1+Assumptions!$M$40)^(-1*(T132))))/Assumptions!$M$40)</f>
        <v>4402.9686334871531</v>
      </c>
      <c r="AI132" s="412">
        <f t="shared" si="24"/>
        <v>650.04</v>
      </c>
      <c r="AJ132" s="148">
        <f>((AI132*(1-(1+Assumptions!$L$40)^(-1*(G132-Q132))))/Assumptions!$L$40)-((AI132*(1-(1+Assumptions!$L$40)^(-1*(T132))))/Assumptions!$L$40)</f>
        <v>2155.3659882120155</v>
      </c>
      <c r="AK132" s="148">
        <f>((AI132*(1-(1+Assumptions!$L$46)^(-1*(G132-Q132))))/Assumptions!$L$46)-((AI132*(1-(1+Assumptions!$L$46)^(-1*(T132))))/Assumptions!$L$46)</f>
        <v>3908.9712634639318</v>
      </c>
      <c r="AL132" s="148"/>
      <c r="AM132" s="4"/>
      <c r="AN132" s="3"/>
      <c r="AO132" s="112"/>
      <c r="AP132" s="112"/>
      <c r="AQ132" s="114"/>
      <c r="AR132" s="116"/>
    </row>
    <row r="133" spans="1:44" x14ac:dyDescent="0.2">
      <c r="A133" s="3" t="s">
        <v>107</v>
      </c>
      <c r="B133" s="29">
        <f t="shared" si="25"/>
        <v>106</v>
      </c>
      <c r="D133" s="257" t="s">
        <v>441</v>
      </c>
      <c r="E133" s="258"/>
      <c r="F133" s="108" t="s">
        <v>211</v>
      </c>
      <c r="G133" s="5">
        <f>IF(F133="f",Assumptions!$E$39,Assumptions!$E$38)</f>
        <v>89.3</v>
      </c>
      <c r="H133" s="117">
        <v>21235</v>
      </c>
      <c r="I133" s="112">
        <v>21235</v>
      </c>
      <c r="J133" s="27">
        <v>36588</v>
      </c>
      <c r="K133" s="28"/>
      <c r="L133" s="95"/>
      <c r="M133" s="244">
        <v>66.67</v>
      </c>
      <c r="N133" s="129"/>
      <c r="O133" s="195">
        <f t="shared" si="19"/>
        <v>800.04</v>
      </c>
      <c r="P133" s="40">
        <f t="shared" si="20"/>
        <v>42.063013698630137</v>
      </c>
      <c r="Q133" s="39">
        <f t="shared" si="21"/>
        <v>43.558904109589044</v>
      </c>
      <c r="T133" s="81">
        <f>IF(Q133&lt;=Assumptions!$E$43,Assumptions!$E$43-Q133,Assumptions!$E$45)</f>
        <v>21.441095890410956</v>
      </c>
      <c r="U133" s="191">
        <f t="shared" si="22"/>
        <v>43.558904109589044</v>
      </c>
      <c r="V133" s="277">
        <f>((O133*(1-(1+Assumptions!$G$40)^(-1*(G133-Q133))))/Assumptions!$G$40)-((O133*(1-(1+Assumptions!$G$40)^(-1*(T133))))/Assumptions!$G$40)</f>
        <v>1228.3300705493157</v>
      </c>
      <c r="W133" s="277">
        <f>((O133*(1-(1+Assumptions!$G$46)^(-1*(G133-Q133))))/Assumptions!$G$46)-((O133*(1-(1+Assumptions!$G$46)^(-1*(T133))))/Assumptions!$G$46)</f>
        <v>2844.1310192358651</v>
      </c>
      <c r="X133" s="283">
        <f t="shared" si="23"/>
        <v>800.04</v>
      </c>
      <c r="Y133" s="181">
        <f t="shared" si="23"/>
        <v>800.04</v>
      </c>
      <c r="Z133" s="181">
        <f t="shared" si="23"/>
        <v>800.04</v>
      </c>
      <c r="AA133" s="284">
        <f>((X133*(1-(1+Assumptions!$H$40)^(-1*(G133-Q133))))/Assumptions!$H$40)-((X133*(1-(1+Assumptions!$H$40)^(-1*(T133))))/Assumptions!$H$40)</f>
        <v>1228.3300705493157</v>
      </c>
      <c r="AB133" s="284">
        <f>((Y133*(1-(1+Assumptions!$I$40)^(-1*(G133-Q133))))/Assumptions!$I$40)-((Y133*(1-(1+Assumptions!$I$40)^(-1*(T133))))/Assumptions!$I$40)</f>
        <v>1228.3300705493157</v>
      </c>
      <c r="AC133" s="285">
        <f>((Z133*(1-(1+Assumptions!$J$40)^(-1*(G133-Q133))))/Assumptions!$J$40)-((Z133*(1-(1+Assumptions!$J$40)^(-1*(T133))))/Assumptions!$J$40)</f>
        <v>1228.3300705493157</v>
      </c>
      <c r="AD133" s="148">
        <f>((X133*(1-(1+Assumptions!$H$46)^(-1*(G133-Q133))))/Assumptions!$H$46)-((X133*(1-(1+Assumptions!$H$46)^(-1*(T133))))/Assumptions!$H$46)</f>
        <v>2844.1310192358651</v>
      </c>
      <c r="AE133" s="148">
        <f>((Y133*(1-(1+Assumptions!$I$46)^(-1*(G133-Q133))))/Assumptions!$I$46)-((Y133*(1-(1+Assumptions!$I$46)^(-1*(T133))))/Assumptions!$I$46)</f>
        <v>2844.1310192358651</v>
      </c>
      <c r="AF133" s="148">
        <f>((Z133*(1-(1+Assumptions!$J$46)^(-1*(G133-Q133))))/Assumptions!$J$46)-((Z133*(1-(1+Assumptions!$J$46)^(-1*(T133))))/Assumptions!$J$46)</f>
        <v>2844.1310192358651</v>
      </c>
      <c r="AG133" s="145">
        <v>37134</v>
      </c>
      <c r="AH133" s="148">
        <f>((AI133*(1-(1+Assumptions!$M$40)^(-1*(G133-Q133))))/Assumptions!$M$40)-((AI133*(1-(1+Assumptions!$M$40)^(-1*(T133))))/Assumptions!$M$40)</f>
        <v>3358.7215692996706</v>
      </c>
      <c r="AI133" s="412">
        <f t="shared" si="24"/>
        <v>800.04</v>
      </c>
      <c r="AJ133" s="148">
        <f>((AI133*(1-(1+Assumptions!$L$40)^(-1*(G133-Q133))))/Assumptions!$L$40)-((AI133*(1-(1+Assumptions!$L$40)^(-1*(T133))))/Assumptions!$L$40)</f>
        <v>1228.3300705493157</v>
      </c>
      <c r="AK133" s="148">
        <f>((AI133*(1-(1+Assumptions!$L$46)^(-1*(G133-Q133))))/Assumptions!$L$46)-((AI133*(1-(1+Assumptions!$L$46)^(-1*(T133))))/Assumptions!$L$46)</f>
        <v>2844.1310192358651</v>
      </c>
      <c r="AL133" s="148"/>
      <c r="AM133" s="201"/>
      <c r="AN133" s="3"/>
      <c r="AO133" s="117"/>
      <c r="AP133" s="112"/>
      <c r="AQ133" s="114"/>
      <c r="AR133" s="116"/>
    </row>
    <row r="134" spans="1:44" x14ac:dyDescent="0.2">
      <c r="A134" s="3" t="s">
        <v>107</v>
      </c>
      <c r="B134" s="29">
        <f t="shared" si="25"/>
        <v>107</v>
      </c>
      <c r="C134" s="4"/>
      <c r="D134" s="257" t="s">
        <v>442</v>
      </c>
      <c r="E134" s="257"/>
      <c r="F134" s="107" t="s">
        <v>210</v>
      </c>
      <c r="G134" s="5">
        <f>IF(F134="f",Assumptions!$E$39,Assumptions!$E$38)</f>
        <v>81.8</v>
      </c>
      <c r="H134" s="112">
        <v>15609</v>
      </c>
      <c r="I134" s="112">
        <v>28763</v>
      </c>
      <c r="J134" s="27">
        <f>DATE(91,10,11)</f>
        <v>33522</v>
      </c>
      <c r="K134" s="28"/>
      <c r="L134" s="95"/>
      <c r="M134" s="245">
        <v>102.08</v>
      </c>
      <c r="N134" s="130"/>
      <c r="O134" s="195">
        <f t="shared" si="19"/>
        <v>1224.96</v>
      </c>
      <c r="P134" s="40">
        <f t="shared" si="20"/>
        <v>13.038356164383561</v>
      </c>
      <c r="Q134" s="39">
        <f t="shared" si="21"/>
        <v>58.972602739726028</v>
      </c>
      <c r="T134" s="81">
        <f>IF(Q134&lt;=Assumptions!$E$43,Assumptions!$E$43-Q134,Assumptions!$E$45)</f>
        <v>6.0273972602739718</v>
      </c>
      <c r="U134" s="191">
        <f t="shared" si="22"/>
        <v>22.934246575342467</v>
      </c>
      <c r="V134" s="277">
        <f>((O134*(1-(1+Assumptions!$G$40)^(-1*(G134-Q134))))/Assumptions!$G$40)-((O134*(1-(1+Assumptions!$G$40)^(-1*(T134))))/Assumptions!$G$40)</f>
        <v>6193.0581370172231</v>
      </c>
      <c r="W134" s="277">
        <f>((O134*(1-(1+Assumptions!$G$46)^(-1*(G134-Q134))))/Assumptions!$G$46)-((O134*(1-(1+Assumptions!$G$46)^(-1*(T134))))/Assumptions!$G$46)</f>
        <v>8901.9813271076709</v>
      </c>
      <c r="X134" s="283">
        <f t="shared" si="23"/>
        <v>1224.96</v>
      </c>
      <c r="Y134" s="181">
        <f t="shared" si="23"/>
        <v>1224.96</v>
      </c>
      <c r="Z134" s="181">
        <f t="shared" si="23"/>
        <v>1224.96</v>
      </c>
      <c r="AA134" s="284">
        <f>((X134*(1-(1+Assumptions!$H$40)^(-1*(G134-Q134))))/Assumptions!$H$40)-((X134*(1-(1+Assumptions!$H$40)^(-1*(T134))))/Assumptions!$H$40)</f>
        <v>6193.0581370172231</v>
      </c>
      <c r="AB134" s="284">
        <f>((Y134*(1-(1+Assumptions!$I$40)^(-1*(G134-Q134))))/Assumptions!$I$40)-((Y134*(1-(1+Assumptions!$I$40)^(-1*(T134))))/Assumptions!$I$40)</f>
        <v>6193.0581370172231</v>
      </c>
      <c r="AC134" s="285">
        <f>((Z134*(1-(1+Assumptions!$J$40)^(-1*(G134-Q134))))/Assumptions!$J$40)-((Z134*(1-(1+Assumptions!$J$40)^(-1*(T134))))/Assumptions!$J$40)</f>
        <v>6193.0581370172231</v>
      </c>
      <c r="AD134" s="148">
        <f>((X134*(1-(1+Assumptions!$H$46)^(-1*(G134-Q134))))/Assumptions!$H$46)-((X134*(1-(1+Assumptions!$H$46)^(-1*(T134))))/Assumptions!$H$46)</f>
        <v>8901.9813271076709</v>
      </c>
      <c r="AE134" s="148">
        <f>((Y134*(1-(1+Assumptions!$I$46)^(-1*(G134-Q134))))/Assumptions!$I$46)-((Y134*(1-(1+Assumptions!$I$46)^(-1*(T134))))/Assumptions!$I$46)</f>
        <v>8901.9813271076709</v>
      </c>
      <c r="AF134" s="148">
        <f>((Z134*(1-(1+Assumptions!$J$46)^(-1*(G134-Q134))))/Assumptions!$J$46)-((Z134*(1-(1+Assumptions!$J$46)^(-1*(T134))))/Assumptions!$J$46)</f>
        <v>8901.9813271076709</v>
      </c>
      <c r="AG134" s="145">
        <v>37134</v>
      </c>
      <c r="AH134" s="148">
        <f>((AI134*(1-(1+Assumptions!$M$40)^(-1*(G134-Q134))))/Assumptions!$M$40)-((AI134*(1-(1+Assumptions!$M$40)^(-1*(T134))))/Assumptions!$M$40)</f>
        <v>9568.0584038238485</v>
      </c>
      <c r="AI134" s="412">
        <f t="shared" si="24"/>
        <v>1224.96</v>
      </c>
      <c r="AJ134" s="148">
        <f>((AI134*(1-(1+Assumptions!$L$40)^(-1*(G134-Q134))))/Assumptions!$L$40)-((AI134*(1-(1+Assumptions!$L$40)^(-1*(T134))))/Assumptions!$L$40)</f>
        <v>6193.0581370172231</v>
      </c>
      <c r="AK134" s="148">
        <f>((AI134*(1-(1+Assumptions!$L$46)^(-1*(G134-Q134))))/Assumptions!$L$46)-((AI134*(1-(1+Assumptions!$L$46)^(-1*(T134))))/Assumptions!$L$46)</f>
        <v>8901.9813271076709</v>
      </c>
      <c r="AL134" s="148"/>
      <c r="AM134" s="4"/>
      <c r="AN134" s="3"/>
      <c r="AO134" s="112"/>
      <c r="AP134" s="112"/>
      <c r="AQ134" s="114"/>
      <c r="AR134" s="116"/>
    </row>
    <row r="135" spans="1:44" x14ac:dyDescent="0.2">
      <c r="A135" s="3" t="s">
        <v>107</v>
      </c>
      <c r="B135" s="29">
        <f t="shared" si="25"/>
        <v>108</v>
      </c>
      <c r="C135" s="4"/>
      <c r="D135" s="257" t="s">
        <v>443</v>
      </c>
      <c r="E135" s="257"/>
      <c r="F135" s="107" t="s">
        <v>210</v>
      </c>
      <c r="G135" s="5">
        <f>IF(F135="f",Assumptions!$E$39,Assumptions!$E$38)</f>
        <v>81.8</v>
      </c>
      <c r="H135" s="112">
        <v>14226</v>
      </c>
      <c r="I135" s="112">
        <v>24318</v>
      </c>
      <c r="J135" s="27">
        <f>DATE(78,4,17)</f>
        <v>28597</v>
      </c>
      <c r="K135" s="28"/>
      <c r="L135" s="95"/>
      <c r="M135" s="245">
        <v>193.33</v>
      </c>
      <c r="N135" s="130"/>
      <c r="O135" s="195">
        <f t="shared" si="19"/>
        <v>2319.96</v>
      </c>
      <c r="P135" s="40">
        <f t="shared" si="20"/>
        <v>11.723287671232876</v>
      </c>
      <c r="Q135" s="39">
        <f t="shared" si="21"/>
        <v>62.761643835616439</v>
      </c>
      <c r="T135" s="81">
        <f>IF(Q135&lt;=Assumptions!$E$43,Assumptions!$E$43-Q135,Assumptions!$E$45)</f>
        <v>2.2383561643835606</v>
      </c>
      <c r="U135" s="191">
        <f t="shared" si="22"/>
        <v>35.112328767123287</v>
      </c>
      <c r="V135" s="277">
        <f>((O135*(1-(1+Assumptions!$G$40)^(-1*(G135-Q135))))/Assumptions!$G$40)-((O135*(1-(1+Assumptions!$G$40)^(-1*(T135))))/Assumptions!$G$40)</f>
        <v>16258.268267001069</v>
      </c>
      <c r="W135" s="277">
        <f>((O135*(1-(1+Assumptions!$G$46)^(-1*(G135-Q135))))/Assumptions!$G$46)-((O135*(1-(1+Assumptions!$G$46)^(-1*(T135))))/Assumptions!$G$46)</f>
        <v>21069.848715440989</v>
      </c>
      <c r="X135" s="283">
        <f t="shared" si="23"/>
        <v>2319.96</v>
      </c>
      <c r="Y135" s="181">
        <f t="shared" si="23"/>
        <v>2319.96</v>
      </c>
      <c r="Z135" s="181">
        <f t="shared" si="23"/>
        <v>2319.96</v>
      </c>
      <c r="AA135" s="284">
        <f>((X135*(1-(1+Assumptions!$H$40)^(-1*(G135-Q135))))/Assumptions!$H$40)-((X135*(1-(1+Assumptions!$H$40)^(-1*(T135))))/Assumptions!$H$40)</f>
        <v>16258.268267001069</v>
      </c>
      <c r="AB135" s="284">
        <f>((Y135*(1-(1+Assumptions!$I$40)^(-1*(G135-Q135))))/Assumptions!$I$40)-((Y135*(1-(1+Assumptions!$I$40)^(-1*(T135))))/Assumptions!$I$40)</f>
        <v>16258.268267001069</v>
      </c>
      <c r="AC135" s="285">
        <f>((Z135*(1-(1+Assumptions!$J$40)^(-1*(G135-Q135))))/Assumptions!$J$40)-((Z135*(1-(1+Assumptions!$J$40)^(-1*(T135))))/Assumptions!$J$40)</f>
        <v>16258.268267001069</v>
      </c>
      <c r="AD135" s="148">
        <f>((X135*(1-(1+Assumptions!$H$46)^(-1*(G135-Q135))))/Assumptions!$H$46)-((X135*(1-(1+Assumptions!$H$46)^(-1*(T135))))/Assumptions!$H$46)</f>
        <v>21069.848715440989</v>
      </c>
      <c r="AE135" s="148">
        <f>((Y135*(1-(1+Assumptions!$I$46)^(-1*(G135-Q135))))/Assumptions!$I$46)-((Y135*(1-(1+Assumptions!$I$46)^(-1*(T135))))/Assumptions!$I$46)</f>
        <v>21069.848715440989</v>
      </c>
      <c r="AF135" s="148">
        <f>((Z135*(1-(1+Assumptions!$J$46)^(-1*(G135-Q135))))/Assumptions!$J$46)-((Z135*(1-(1+Assumptions!$J$46)^(-1*(T135))))/Assumptions!$J$46)</f>
        <v>21069.848715440989</v>
      </c>
      <c r="AG135" s="145">
        <v>37134</v>
      </c>
      <c r="AH135" s="148">
        <f>((AI135*(1-(1+Assumptions!$M$40)^(-1*(G135-Q135))))/Assumptions!$M$40)-((AI135*(1-(1+Assumptions!$M$40)^(-1*(T135))))/Assumptions!$M$40)</f>
        <v>22196.624354478306</v>
      </c>
      <c r="AI135" s="412">
        <f t="shared" si="24"/>
        <v>2319.96</v>
      </c>
      <c r="AJ135" s="148">
        <f>((AI135*(1-(1+Assumptions!$L$40)^(-1*(G135-Q135))))/Assumptions!$L$40)-((AI135*(1-(1+Assumptions!$L$40)^(-1*(T135))))/Assumptions!$L$40)</f>
        <v>16258.268267001069</v>
      </c>
      <c r="AK135" s="148">
        <f>((AI135*(1-(1+Assumptions!$L$46)^(-1*(G135-Q135))))/Assumptions!$L$46)-((AI135*(1-(1+Assumptions!$L$46)^(-1*(T135))))/Assumptions!$L$46)</f>
        <v>21069.848715440989</v>
      </c>
      <c r="AL135" s="148"/>
      <c r="AM135" s="4"/>
      <c r="AN135" s="3"/>
      <c r="AO135" s="112"/>
      <c r="AP135" s="112"/>
      <c r="AQ135" s="114"/>
      <c r="AR135" s="116"/>
    </row>
    <row r="136" spans="1:44" x14ac:dyDescent="0.2">
      <c r="A136" s="3" t="s">
        <v>107</v>
      </c>
      <c r="B136" s="29">
        <f t="shared" si="25"/>
        <v>109</v>
      </c>
      <c r="C136" s="4"/>
      <c r="D136" s="257" t="s">
        <v>444</v>
      </c>
      <c r="E136" s="257"/>
      <c r="F136" s="107" t="s">
        <v>211</v>
      </c>
      <c r="G136" s="5">
        <f>IF(F136="f",Assumptions!$E$39,Assumptions!$E$38)</f>
        <v>89.3</v>
      </c>
      <c r="H136" s="112">
        <v>21727</v>
      </c>
      <c r="I136" s="112">
        <v>29828</v>
      </c>
      <c r="J136" s="27">
        <f>DATE(91,8,2)</f>
        <v>33452</v>
      </c>
      <c r="K136" s="28"/>
      <c r="L136" s="95"/>
      <c r="M136" s="245">
        <v>29.17</v>
      </c>
      <c r="N136" s="130"/>
      <c r="O136" s="195">
        <f t="shared" si="19"/>
        <v>350.04</v>
      </c>
      <c r="P136" s="40">
        <f t="shared" si="20"/>
        <v>9.9287671232876704</v>
      </c>
      <c r="Q136" s="39">
        <f t="shared" si="21"/>
        <v>42.210958904109589</v>
      </c>
      <c r="T136" s="81">
        <f>IF(Q136&lt;=Assumptions!$E$43,Assumptions!$E$43-Q136,Assumptions!$E$45)</f>
        <v>22.789041095890411</v>
      </c>
      <c r="U136" s="191">
        <f t="shared" si="22"/>
        <v>20.016438356164382</v>
      </c>
      <c r="V136" s="277">
        <f>((O136*(1-(1+Assumptions!$G$40)^(-1*(G136-Q136))))/Assumptions!$G$40)-((O136*(1-(1+Assumptions!$G$40)^(-1*(T136))))/Assumptions!$G$40)</f>
        <v>478.48925471977964</v>
      </c>
      <c r="W136" s="277">
        <f>((O136*(1-(1+Assumptions!$G$46)^(-1*(G136-Q136))))/Assumptions!$G$46)-((O136*(1-(1+Assumptions!$G$46)^(-1*(T136))))/Assumptions!$G$46)</f>
        <v>1149.5116723453539</v>
      </c>
      <c r="X136" s="283">
        <f t="shared" si="23"/>
        <v>350.04</v>
      </c>
      <c r="Y136" s="181">
        <f t="shared" si="23"/>
        <v>350.04</v>
      </c>
      <c r="Z136" s="181">
        <f t="shared" si="23"/>
        <v>350.04</v>
      </c>
      <c r="AA136" s="284">
        <f>((X136*(1-(1+Assumptions!$H$40)^(-1*(G136-Q136))))/Assumptions!$H$40)-((X136*(1-(1+Assumptions!$H$40)^(-1*(T136))))/Assumptions!$H$40)</f>
        <v>478.48925471977964</v>
      </c>
      <c r="AB136" s="284">
        <f>((Y136*(1-(1+Assumptions!$I$40)^(-1*(G136-Q136))))/Assumptions!$I$40)-((Y136*(1-(1+Assumptions!$I$40)^(-1*(T136))))/Assumptions!$I$40)</f>
        <v>478.48925471977964</v>
      </c>
      <c r="AC136" s="285">
        <f>((Z136*(1-(1+Assumptions!$J$40)^(-1*(G136-Q136))))/Assumptions!$J$40)-((Z136*(1-(1+Assumptions!$J$40)^(-1*(T136))))/Assumptions!$J$40)</f>
        <v>478.48925471977964</v>
      </c>
      <c r="AD136" s="148">
        <f>((X136*(1-(1+Assumptions!$H$46)^(-1*(G136-Q136))))/Assumptions!$H$46)-((X136*(1-(1+Assumptions!$H$46)^(-1*(T136))))/Assumptions!$H$46)</f>
        <v>1149.5116723453539</v>
      </c>
      <c r="AE136" s="148">
        <f>((Y136*(1-(1+Assumptions!$I$46)^(-1*(G136-Q136))))/Assumptions!$I$46)-((Y136*(1-(1+Assumptions!$I$46)^(-1*(T136))))/Assumptions!$I$46)</f>
        <v>1149.5116723453539</v>
      </c>
      <c r="AF136" s="148">
        <f>((Z136*(1-(1+Assumptions!$J$46)^(-1*(G136-Q136))))/Assumptions!$J$46)-((Z136*(1-(1+Assumptions!$J$46)^(-1*(T136))))/Assumptions!$J$46)</f>
        <v>1149.5116723453539</v>
      </c>
      <c r="AG136" s="145">
        <v>37134</v>
      </c>
      <c r="AH136" s="148">
        <f>((AI136*(1-(1+Assumptions!$M$40)^(-1*(G136-Q136))))/Assumptions!$M$40)-((AI136*(1-(1+Assumptions!$M$40)^(-1*(T136))))/Assumptions!$M$40)</f>
        <v>1367.2153819024907</v>
      </c>
      <c r="AI136" s="412">
        <f t="shared" si="24"/>
        <v>350.04</v>
      </c>
      <c r="AJ136" s="148">
        <f>((AI136*(1-(1+Assumptions!$L$40)^(-1*(G136-Q136))))/Assumptions!$L$40)-((AI136*(1-(1+Assumptions!$L$40)^(-1*(T136))))/Assumptions!$L$40)</f>
        <v>478.48925471977964</v>
      </c>
      <c r="AK136" s="148">
        <f>((AI136*(1-(1+Assumptions!$L$46)^(-1*(G136-Q136))))/Assumptions!$L$46)-((AI136*(1-(1+Assumptions!$L$46)^(-1*(T136))))/Assumptions!$L$46)</f>
        <v>1149.5116723453539</v>
      </c>
      <c r="AL136" s="148"/>
      <c r="AM136" s="4"/>
      <c r="AN136" s="3"/>
      <c r="AO136" s="112"/>
      <c r="AP136" s="112"/>
      <c r="AQ136" s="114"/>
      <c r="AR136" s="116"/>
    </row>
    <row r="137" spans="1:44" x14ac:dyDescent="0.2">
      <c r="A137" s="3" t="s">
        <v>107</v>
      </c>
      <c r="B137" s="29">
        <f t="shared" si="25"/>
        <v>110</v>
      </c>
      <c r="C137" s="4"/>
      <c r="D137" s="257" t="s">
        <v>445</v>
      </c>
      <c r="E137" s="257"/>
      <c r="F137" s="107" t="s">
        <v>211</v>
      </c>
      <c r="G137" s="5">
        <f>IF(F137="f",Assumptions!$E$39,Assumptions!$E$38)</f>
        <v>89.3</v>
      </c>
      <c r="H137" s="112">
        <v>19887</v>
      </c>
      <c r="I137" s="112">
        <v>28701</v>
      </c>
      <c r="J137" s="27">
        <f>DATE(96,5,10)</f>
        <v>35195</v>
      </c>
      <c r="K137" s="28"/>
      <c r="L137" s="95"/>
      <c r="M137" s="245">
        <v>108.33</v>
      </c>
      <c r="N137" s="130"/>
      <c r="O137" s="195">
        <f t="shared" si="19"/>
        <v>1299.96</v>
      </c>
      <c r="P137" s="40">
        <f t="shared" si="20"/>
        <v>17.791780821917808</v>
      </c>
      <c r="Q137" s="39">
        <f t="shared" si="21"/>
        <v>47.252054794520546</v>
      </c>
      <c r="T137" s="81">
        <f>IF(Q137&lt;=Assumptions!$E$43,Assumptions!$E$43-Q137,Assumptions!$E$45)</f>
        <v>17.747945205479454</v>
      </c>
      <c r="U137" s="191">
        <f t="shared" si="22"/>
        <v>23.104109589041094</v>
      </c>
      <c r="V137" s="277">
        <f>((O137*(1-(1+Assumptions!$G$40)^(-1*(G137-Q137))))/Assumptions!$G$40)-((O137*(1-(1+Assumptions!$G$40)^(-1*(T137))))/Assumptions!$G$40)</f>
        <v>2743.8165314900489</v>
      </c>
      <c r="W137" s="277">
        <f>((O137*(1-(1+Assumptions!$G$46)^(-1*(G137-Q137))))/Assumptions!$G$46)-((O137*(1-(1+Assumptions!$G$46)^(-1*(T137))))/Assumptions!$G$46)</f>
        <v>5742.9347263315085</v>
      </c>
      <c r="X137" s="283">
        <f t="shared" si="23"/>
        <v>1299.96</v>
      </c>
      <c r="Y137" s="181">
        <f t="shared" si="23"/>
        <v>1299.96</v>
      </c>
      <c r="Z137" s="181">
        <f t="shared" si="23"/>
        <v>1299.96</v>
      </c>
      <c r="AA137" s="284">
        <f>((X137*(1-(1+Assumptions!$H$40)^(-1*(G137-Q137))))/Assumptions!$H$40)-((X137*(1-(1+Assumptions!$H$40)^(-1*(T137))))/Assumptions!$H$40)</f>
        <v>2743.8165314900489</v>
      </c>
      <c r="AB137" s="284">
        <f>((Y137*(1-(1+Assumptions!$I$40)^(-1*(G137-Q137))))/Assumptions!$I$40)-((Y137*(1-(1+Assumptions!$I$40)^(-1*(T137))))/Assumptions!$I$40)</f>
        <v>2743.8165314900489</v>
      </c>
      <c r="AC137" s="285">
        <f>((Z137*(1-(1+Assumptions!$J$40)^(-1*(G137-Q137))))/Assumptions!$J$40)-((Z137*(1-(1+Assumptions!$J$40)^(-1*(T137))))/Assumptions!$J$40)</f>
        <v>2743.8165314900489</v>
      </c>
      <c r="AD137" s="148">
        <f>((X137*(1-(1+Assumptions!$H$46)^(-1*(G137-Q137))))/Assumptions!$H$46)-((X137*(1-(1+Assumptions!$H$46)^(-1*(T137))))/Assumptions!$H$46)</f>
        <v>5742.9347263315085</v>
      </c>
      <c r="AE137" s="148">
        <f>((Y137*(1-(1+Assumptions!$I$46)^(-1*(G137-Q137))))/Assumptions!$I$46)-((Y137*(1-(1+Assumptions!$I$46)^(-1*(T137))))/Assumptions!$I$46)</f>
        <v>5742.9347263315085</v>
      </c>
      <c r="AF137" s="148">
        <f>((Z137*(1-(1+Assumptions!$J$46)^(-1*(G137-Q137))))/Assumptions!$J$46)-((Z137*(1-(1+Assumptions!$J$46)^(-1*(T137))))/Assumptions!$J$46)</f>
        <v>5742.9347263315085</v>
      </c>
      <c r="AG137" s="145">
        <v>37134</v>
      </c>
      <c r="AH137" s="148">
        <f>((AI137*(1-(1+Assumptions!$M$40)^(-1*(G137-Q137))))/Assumptions!$M$40)-((AI137*(1-(1+Assumptions!$M$40)^(-1*(T137))))/Assumptions!$M$40)</f>
        <v>6650.6964840309938</v>
      </c>
      <c r="AI137" s="412">
        <f t="shared" si="24"/>
        <v>1299.96</v>
      </c>
      <c r="AJ137" s="148">
        <f>((AI137*(1-(1+Assumptions!$L$40)^(-1*(G137-Q137))))/Assumptions!$L$40)-((AI137*(1-(1+Assumptions!$L$40)^(-1*(T137))))/Assumptions!$L$40)</f>
        <v>2743.8165314900489</v>
      </c>
      <c r="AK137" s="148">
        <f>((AI137*(1-(1+Assumptions!$L$46)^(-1*(G137-Q137))))/Assumptions!$L$46)-((AI137*(1-(1+Assumptions!$L$46)^(-1*(T137))))/Assumptions!$L$46)</f>
        <v>5742.9347263315085</v>
      </c>
      <c r="AL137" s="148"/>
      <c r="AM137" s="4"/>
      <c r="AN137" s="3"/>
      <c r="AO137" s="112"/>
      <c r="AP137" s="112"/>
      <c r="AQ137" s="114"/>
      <c r="AR137" s="116"/>
    </row>
    <row r="138" spans="1:44" x14ac:dyDescent="0.2">
      <c r="A138" s="3" t="s">
        <v>107</v>
      </c>
      <c r="B138" s="29">
        <f t="shared" si="25"/>
        <v>111</v>
      </c>
      <c r="C138" s="4"/>
      <c r="D138" s="257" t="s">
        <v>446</v>
      </c>
      <c r="E138" s="257"/>
      <c r="F138" s="107" t="s">
        <v>210</v>
      </c>
      <c r="G138" s="5">
        <f>IF(F138="f",Assumptions!$E$39,Assumptions!$E$38)</f>
        <v>81.8</v>
      </c>
      <c r="H138" s="112">
        <v>17404</v>
      </c>
      <c r="I138" s="112">
        <v>28974</v>
      </c>
      <c r="J138" s="27">
        <f>DATE(96,1,31)</f>
        <v>35095</v>
      </c>
      <c r="K138" s="28"/>
      <c r="L138" s="95"/>
      <c r="M138" s="245">
        <v>89.58</v>
      </c>
      <c r="N138" s="130"/>
      <c r="O138" s="196">
        <f t="shared" si="19"/>
        <v>1074.96</v>
      </c>
      <c r="P138" s="40">
        <f t="shared" si="20"/>
        <v>16.769863013698629</v>
      </c>
      <c r="Q138" s="39">
        <f t="shared" si="21"/>
        <v>54.054794520547944</v>
      </c>
      <c r="T138" s="81">
        <f>IF(Q138&lt;=Assumptions!$E$43,Assumptions!$E$43-Q138,Assumptions!$E$45)</f>
        <v>10.945205479452056</v>
      </c>
      <c r="U138" s="191">
        <f t="shared" si="22"/>
        <v>22.356164383561644</v>
      </c>
      <c r="V138" s="277">
        <f>((O138*(1-(1+Assumptions!$G$40)^(-1*(G138-Q138))))/Assumptions!$G$40)-((O138*(1-(1+Assumptions!$G$40)^(-1*(T138))))/Assumptions!$G$40)</f>
        <v>3557.2895330199199</v>
      </c>
      <c r="W138" s="277">
        <f>((O138*(1-(1+Assumptions!$G$46)^(-1*(G138-Q138))))/Assumptions!$G$46)-((O138*(1-(1+Assumptions!$G$46)^(-1*(T138))))/Assumptions!$G$46)</f>
        <v>5849.2353387524781</v>
      </c>
      <c r="X138" s="283">
        <f t="shared" si="23"/>
        <v>1074.96</v>
      </c>
      <c r="Y138" s="181">
        <f t="shared" si="23"/>
        <v>1074.96</v>
      </c>
      <c r="Z138" s="181">
        <f t="shared" si="23"/>
        <v>1074.96</v>
      </c>
      <c r="AA138" s="284">
        <f>((X138*(1-(1+Assumptions!$H$40)^(-1*(G138-Q138))))/Assumptions!$H$40)-((X138*(1-(1+Assumptions!$H$40)^(-1*(T138))))/Assumptions!$H$40)</f>
        <v>3557.2895330199199</v>
      </c>
      <c r="AB138" s="284">
        <f>((Y138*(1-(1+Assumptions!$I$40)^(-1*(G138-Q138))))/Assumptions!$I$40)-((Y138*(1-(1+Assumptions!$I$40)^(-1*(T138))))/Assumptions!$I$40)</f>
        <v>3557.2895330199199</v>
      </c>
      <c r="AC138" s="285">
        <f>((Z138*(1-(1+Assumptions!$J$40)^(-1*(G138-Q138))))/Assumptions!$J$40)-((Z138*(1-(1+Assumptions!$J$40)^(-1*(T138))))/Assumptions!$J$40)</f>
        <v>3557.2895330199199</v>
      </c>
      <c r="AD138" s="148">
        <f>((X138*(1-(1+Assumptions!$H$46)^(-1*(G138-Q138))))/Assumptions!$H$46)-((X138*(1-(1+Assumptions!$H$46)^(-1*(T138))))/Assumptions!$H$46)</f>
        <v>5849.2353387524781</v>
      </c>
      <c r="AE138" s="148">
        <f>((Y138*(1-(1+Assumptions!$I$46)^(-1*(G138-Q138))))/Assumptions!$I$46)-((Y138*(1-(1+Assumptions!$I$46)^(-1*(T138))))/Assumptions!$I$46)</f>
        <v>5849.2353387524781</v>
      </c>
      <c r="AF138" s="148">
        <f>((Z138*(1-(1+Assumptions!$J$46)^(-1*(G138-Q138))))/Assumptions!$J$46)-((Z138*(1-(1+Assumptions!$J$46)^(-1*(T138))))/Assumptions!$J$46)</f>
        <v>5849.2353387524781</v>
      </c>
      <c r="AG138" s="145">
        <v>37134</v>
      </c>
      <c r="AH138" s="148">
        <f>((AI138*(1-(1+Assumptions!$M$40)^(-1*(G138-Q138))))/Assumptions!$M$40)-((AI138*(1-(1+Assumptions!$M$40)^(-1*(T138))))/Assumptions!$M$40)</f>
        <v>6452.7238164613536</v>
      </c>
      <c r="AI138" s="413">
        <f t="shared" si="24"/>
        <v>1074.96</v>
      </c>
      <c r="AJ138" s="148">
        <f>((AI138*(1-(1+Assumptions!$L$40)^(-1*(G138-Q138))))/Assumptions!$L$40)-((AI138*(1-(1+Assumptions!$L$40)^(-1*(T138))))/Assumptions!$L$40)</f>
        <v>3557.2895330199199</v>
      </c>
      <c r="AK138" s="148">
        <f>((AI138*(1-(1+Assumptions!$L$46)^(-1*(G138-Q138))))/Assumptions!$L$46)-((AI138*(1-(1+Assumptions!$L$46)^(-1*(T138))))/Assumptions!$L$46)</f>
        <v>5849.2353387524781</v>
      </c>
      <c r="AL138" s="148"/>
      <c r="AM138" s="4"/>
      <c r="AN138" s="3"/>
      <c r="AO138" s="112"/>
      <c r="AP138" s="112"/>
      <c r="AQ138" s="114"/>
      <c r="AR138" s="116"/>
    </row>
    <row r="139" spans="1:44" x14ac:dyDescent="0.2">
      <c r="B139" s="47" t="s">
        <v>142</v>
      </c>
      <c r="C139" s="25"/>
      <c r="D139" s="259"/>
      <c r="E139" s="259"/>
      <c r="F139" s="109"/>
      <c r="G139" s="25"/>
      <c r="H139" s="109"/>
      <c r="I139" s="109"/>
      <c r="J139" s="25"/>
      <c r="K139" s="25"/>
      <c r="L139" s="96"/>
      <c r="M139" s="246"/>
      <c r="N139" s="131"/>
      <c r="O139" s="86"/>
      <c r="P139" s="25"/>
      <c r="Q139" s="42"/>
      <c r="R139" s="25"/>
      <c r="S139" s="25"/>
      <c r="X139" s="286"/>
      <c r="Y139" s="287"/>
      <c r="Z139" s="287"/>
      <c r="AA139" s="287"/>
      <c r="AB139" s="287"/>
      <c r="AC139" s="288"/>
      <c r="AD139" s="377"/>
      <c r="AE139" s="377"/>
      <c r="AF139" s="377"/>
      <c r="AG139" s="145"/>
      <c r="AM139" s="25"/>
      <c r="AN139" s="3"/>
      <c r="AO139" s="3"/>
      <c r="AP139" s="3"/>
      <c r="AQ139" s="114"/>
      <c r="AR139" s="116"/>
    </row>
    <row r="140" spans="1:44" x14ac:dyDescent="0.2">
      <c r="B140" s="25"/>
      <c r="C140" s="25"/>
      <c r="D140" s="259"/>
      <c r="E140" s="259"/>
      <c r="F140" s="109"/>
      <c r="G140" s="25"/>
      <c r="H140" s="109"/>
      <c r="I140" s="109"/>
      <c r="J140" s="25"/>
      <c r="K140" s="25"/>
      <c r="L140" s="96"/>
      <c r="M140" s="246"/>
      <c r="N140" s="131"/>
      <c r="O140" s="86"/>
      <c r="P140" s="25"/>
      <c r="Q140" s="42"/>
      <c r="R140" s="25"/>
      <c r="S140" s="25"/>
      <c r="X140" s="426"/>
      <c r="Y140" s="377"/>
      <c r="Z140" s="377"/>
      <c r="AA140" s="377"/>
      <c r="AB140" s="377"/>
      <c r="AC140" s="427"/>
      <c r="AG140" s="145"/>
      <c r="AM140" s="25"/>
      <c r="AN140" s="3"/>
      <c r="AO140" s="3"/>
      <c r="AP140" s="3"/>
      <c r="AQ140" s="114"/>
      <c r="AR140" s="116"/>
    </row>
    <row r="141" spans="1:44" x14ac:dyDescent="0.2">
      <c r="B141" s="25"/>
      <c r="C141" s="25"/>
      <c r="D141" s="259"/>
      <c r="E141" s="259"/>
      <c r="F141" s="109"/>
      <c r="G141" s="25"/>
      <c r="H141" s="109"/>
      <c r="I141" s="109"/>
      <c r="J141" s="25"/>
      <c r="K141" s="25"/>
      <c r="L141" s="96"/>
      <c r="M141" s="246"/>
      <c r="N141" s="131"/>
      <c r="O141" s="86"/>
      <c r="P141" s="25"/>
      <c r="Q141" s="42"/>
      <c r="R141" s="25"/>
      <c r="S141" s="25"/>
      <c r="X141" s="426"/>
      <c r="Y141" s="377"/>
      <c r="Z141" s="377"/>
      <c r="AA141" s="377"/>
      <c r="AB141" s="377"/>
      <c r="AC141" s="427"/>
      <c r="AG141" s="145"/>
      <c r="AM141" s="25"/>
      <c r="AN141" s="3"/>
      <c r="AO141" s="3"/>
      <c r="AP141" s="3"/>
      <c r="AQ141" s="114"/>
      <c r="AR141" s="116"/>
    </row>
    <row r="142" spans="1:44" x14ac:dyDescent="0.2">
      <c r="B142" s="25"/>
      <c r="C142" s="25"/>
      <c r="D142" s="259"/>
      <c r="E142" s="259"/>
      <c r="F142" s="109"/>
      <c r="G142" s="25"/>
      <c r="H142" s="109"/>
      <c r="I142" s="109"/>
      <c r="J142" s="25"/>
      <c r="K142" s="25"/>
      <c r="L142" s="96"/>
      <c r="M142" s="246"/>
      <c r="N142" s="131"/>
      <c r="O142" s="86"/>
      <c r="P142" s="25"/>
      <c r="Q142" s="42"/>
      <c r="R142" s="25"/>
      <c r="S142" s="25"/>
      <c r="X142" s="426"/>
      <c r="Y142" s="377"/>
      <c r="Z142" s="377"/>
      <c r="AA142" s="377"/>
      <c r="AB142" s="377"/>
      <c r="AC142" s="427"/>
      <c r="AG142" s="145"/>
      <c r="AM142" s="25"/>
      <c r="AN142" s="3"/>
      <c r="AO142" s="3"/>
      <c r="AP142" s="3"/>
      <c r="AQ142" s="114"/>
      <c r="AR142" s="116"/>
    </row>
    <row r="143" spans="1:44" x14ac:dyDescent="0.2">
      <c r="B143" s="25"/>
      <c r="C143" s="25"/>
      <c r="D143" s="259"/>
      <c r="E143" s="259"/>
      <c r="F143" s="109"/>
      <c r="G143" s="25"/>
      <c r="H143" s="109"/>
      <c r="I143" s="109"/>
      <c r="J143" s="25"/>
      <c r="K143" s="25"/>
      <c r="L143" s="96"/>
      <c r="M143" s="246"/>
      <c r="N143" s="131"/>
      <c r="O143" s="86"/>
      <c r="P143" s="25"/>
      <c r="Q143" s="42"/>
      <c r="R143" s="25"/>
      <c r="S143" s="25"/>
      <c r="X143" s="426"/>
      <c r="Y143" s="377"/>
      <c r="Z143" s="377"/>
      <c r="AA143" s="377"/>
      <c r="AB143" s="377"/>
      <c r="AC143" s="427"/>
      <c r="AG143" s="145"/>
      <c r="AM143" s="25"/>
      <c r="AN143" s="3"/>
      <c r="AO143" s="3"/>
      <c r="AP143" s="3"/>
      <c r="AQ143" s="114"/>
      <c r="AR143" s="116"/>
    </row>
    <row r="144" spans="1:44" s="388" customFormat="1" x14ac:dyDescent="0.2">
      <c r="A144" s="389"/>
      <c r="B144" s="393"/>
      <c r="C144" s="393"/>
      <c r="D144" s="394"/>
      <c r="E144" s="394"/>
      <c r="F144" s="395"/>
      <c r="G144" s="393"/>
      <c r="H144" s="395"/>
      <c r="I144" s="395"/>
      <c r="J144" s="393"/>
      <c r="K144" s="393"/>
      <c r="L144" s="393"/>
      <c r="M144" s="396"/>
      <c r="N144" s="396"/>
      <c r="O144" s="397"/>
      <c r="P144" s="393"/>
      <c r="Q144" s="398"/>
      <c r="R144" s="393"/>
      <c r="S144" s="393"/>
      <c r="T144" s="389"/>
      <c r="U144" s="385"/>
      <c r="V144" s="390"/>
      <c r="W144" s="390"/>
      <c r="X144" s="399"/>
      <c r="Y144" s="428"/>
      <c r="Z144" s="428"/>
      <c r="AA144" s="428"/>
      <c r="AB144" s="428"/>
      <c r="AC144" s="429"/>
      <c r="AD144" s="386"/>
      <c r="AE144" s="386"/>
      <c r="AF144" s="386"/>
      <c r="AG144" s="387"/>
      <c r="AI144" s="410"/>
      <c r="AM144" s="393"/>
      <c r="AN144" s="389"/>
      <c r="AO144" s="389"/>
      <c r="AP144" s="389"/>
      <c r="AQ144" s="114"/>
      <c r="AR144" s="116"/>
    </row>
    <row r="145" spans="1:44" x14ac:dyDescent="0.2">
      <c r="B145" s="25"/>
      <c r="C145" s="25"/>
      <c r="D145" s="259"/>
      <c r="E145" s="259"/>
      <c r="F145" s="109"/>
      <c r="G145" s="25"/>
      <c r="H145" s="109"/>
      <c r="I145" s="109"/>
      <c r="J145" s="25"/>
      <c r="K145" s="25"/>
      <c r="L145" s="96"/>
      <c r="M145" s="246"/>
      <c r="N145" s="131"/>
      <c r="O145" s="86"/>
      <c r="P145" s="25"/>
      <c r="Q145" s="42"/>
      <c r="R145" s="25"/>
      <c r="S145" s="25"/>
      <c r="X145" s="426"/>
      <c r="Y145" s="377"/>
      <c r="Z145" s="377"/>
      <c r="AA145" s="377"/>
      <c r="AB145" s="377"/>
      <c r="AC145" s="427"/>
      <c r="AG145" s="145"/>
      <c r="AM145" s="25"/>
      <c r="AN145" s="3"/>
      <c r="AO145" s="3"/>
      <c r="AP145" s="3"/>
      <c r="AQ145" s="114"/>
      <c r="AR145" s="116"/>
    </row>
    <row r="146" spans="1:44" x14ac:dyDescent="0.2">
      <c r="B146" s="25"/>
      <c r="C146" s="25"/>
      <c r="D146" s="259"/>
      <c r="E146" s="259"/>
      <c r="F146" s="109"/>
      <c r="G146" s="25"/>
      <c r="H146" s="109"/>
      <c r="I146" s="109"/>
      <c r="J146" s="25"/>
      <c r="K146" s="25"/>
      <c r="L146" s="96"/>
      <c r="M146" s="246"/>
      <c r="N146" s="131"/>
      <c r="O146" s="86"/>
      <c r="P146" s="25"/>
      <c r="Q146" s="42"/>
      <c r="R146" s="25"/>
      <c r="S146" s="25"/>
      <c r="V146" s="274" t="s">
        <v>291</v>
      </c>
      <c r="X146" s="426"/>
      <c r="Y146" s="377"/>
      <c r="Z146" s="377"/>
      <c r="AA146" s="377"/>
      <c r="AB146" s="377"/>
      <c r="AC146" s="427"/>
      <c r="AG146" s="145"/>
      <c r="AM146" s="25"/>
      <c r="AN146" s="3"/>
      <c r="AO146" s="3"/>
      <c r="AP146" s="3"/>
      <c r="AQ146" s="114"/>
      <c r="AR146" s="116"/>
    </row>
    <row r="147" spans="1:44" ht="18" x14ac:dyDescent="0.25">
      <c r="A147" s="509" t="s">
        <v>115</v>
      </c>
      <c r="B147" s="509"/>
      <c r="C147" s="509"/>
      <c r="D147" s="509"/>
      <c r="E147" s="509"/>
      <c r="F147" s="509"/>
      <c r="G147" s="509"/>
      <c r="H147" s="509"/>
      <c r="I147" s="509"/>
      <c r="J147" s="509"/>
      <c r="K147" s="509"/>
      <c r="L147" s="509"/>
      <c r="M147" s="509"/>
      <c r="N147" s="509"/>
      <c r="O147" s="509"/>
      <c r="P147" s="509"/>
      <c r="Q147" s="509"/>
      <c r="R147" s="509"/>
      <c r="S147" s="509"/>
      <c r="T147" s="67"/>
      <c r="X147" s="426"/>
      <c r="Y147" s="377"/>
      <c r="Z147" s="377"/>
      <c r="AA147" s="377"/>
      <c r="AB147" s="377"/>
      <c r="AC147" s="427"/>
      <c r="AG147" s="145"/>
      <c r="AQ147" s="114"/>
      <c r="AR147" s="116"/>
    </row>
    <row r="148" spans="1:44" x14ac:dyDescent="0.2">
      <c r="B148" s="25"/>
      <c r="C148" s="25"/>
      <c r="D148" s="259"/>
      <c r="E148" s="259"/>
      <c r="F148" s="109"/>
      <c r="G148" s="25"/>
      <c r="H148" s="109"/>
      <c r="I148" s="109"/>
      <c r="J148" s="25"/>
      <c r="K148" s="25"/>
      <c r="L148" s="96"/>
      <c r="M148" s="246"/>
      <c r="N148" s="131"/>
      <c r="O148" s="86"/>
      <c r="P148" s="25"/>
      <c r="Q148" s="42"/>
      <c r="R148" s="25"/>
      <c r="S148" s="25"/>
      <c r="X148" s="426"/>
      <c r="Y148" s="377"/>
      <c r="Z148" s="377"/>
      <c r="AA148" s="377"/>
      <c r="AB148" s="377"/>
      <c r="AC148" s="427"/>
      <c r="AG148" s="145"/>
      <c r="AQ148" s="114"/>
      <c r="AR148" s="116"/>
    </row>
    <row r="149" spans="1:44" x14ac:dyDescent="0.2">
      <c r="B149" s="189"/>
      <c r="D149" s="10" t="s">
        <v>529</v>
      </c>
      <c r="F149" s="34"/>
      <c r="G149" s="8"/>
      <c r="H149" s="34"/>
      <c r="I149" s="34"/>
      <c r="J149" s="8"/>
      <c r="K149" s="8"/>
      <c r="L149" s="92"/>
      <c r="M149" s="241"/>
      <c r="N149" s="126"/>
      <c r="O149" s="84"/>
      <c r="P149" s="8"/>
      <c r="Q149" s="41"/>
      <c r="R149" s="8"/>
      <c r="X149" s="426"/>
      <c r="Y149" s="377"/>
      <c r="Z149" s="377"/>
      <c r="AA149" s="377"/>
      <c r="AB149" s="377"/>
      <c r="AC149" s="427"/>
      <c r="AG149" s="145"/>
      <c r="AQ149" s="114"/>
      <c r="AR149" s="116"/>
    </row>
    <row r="150" spans="1:44" x14ac:dyDescent="0.2">
      <c r="B150" s="189"/>
      <c r="E150" s="253" t="s">
        <v>101</v>
      </c>
      <c r="F150" s="34"/>
      <c r="G150" s="8"/>
      <c r="H150" s="34"/>
      <c r="I150" s="34"/>
      <c r="J150" s="3" t="s">
        <v>95</v>
      </c>
      <c r="K150" s="180"/>
      <c r="M150" s="237" t="s">
        <v>96</v>
      </c>
      <c r="P150" s="8"/>
      <c r="Q150" s="41"/>
      <c r="R150" s="8"/>
      <c r="X150" s="296"/>
      <c r="Y150" s="297"/>
      <c r="Z150" s="297"/>
      <c r="AA150" s="297"/>
      <c r="AB150" s="297"/>
      <c r="AC150" s="298"/>
      <c r="AD150" s="377"/>
      <c r="AE150" s="377"/>
      <c r="AF150" s="377"/>
      <c r="AG150" s="145"/>
      <c r="AM150" s="3" t="s">
        <v>91</v>
      </c>
      <c r="AN150" s="3" t="s">
        <v>100</v>
      </c>
      <c r="AO150" s="3"/>
      <c r="AQ150" s="114"/>
      <c r="AR150" s="116"/>
    </row>
    <row r="151" spans="1:44" x14ac:dyDescent="0.2">
      <c r="A151" s="3" t="s">
        <v>105</v>
      </c>
      <c r="B151" s="189">
        <v>115</v>
      </c>
      <c r="D151" s="256" t="s">
        <v>447</v>
      </c>
      <c r="E151" s="256" t="s">
        <v>519</v>
      </c>
      <c r="F151" s="36" t="s">
        <v>6</v>
      </c>
      <c r="G151" s="5">
        <f>IF(F151="f",Assumptions!$E$39,Assumptions!$E$38)</f>
        <v>81.8</v>
      </c>
      <c r="H151" s="114">
        <v>10492</v>
      </c>
      <c r="I151" s="116">
        <v>25902</v>
      </c>
      <c r="J151" s="193">
        <v>35886</v>
      </c>
      <c r="K151" s="202"/>
      <c r="L151" s="203"/>
      <c r="M151" s="237">
        <v>2537.79</v>
      </c>
      <c r="O151" s="194">
        <f>M151*12</f>
        <v>30453.48</v>
      </c>
      <c r="P151" s="7">
        <f>(AG90-I151)/365</f>
        <v>-70.964383561643842</v>
      </c>
      <c r="Q151" s="39">
        <f>(AG90-H151)/365</f>
        <v>-28.745205479452054</v>
      </c>
      <c r="R151" s="23"/>
      <c r="V151" s="392">
        <f>((O151*(1-(1+Assumptions!$G$40)^(-1*(G151-Q151))))/Assumptions!$G$40)</f>
        <v>338347.33537521161</v>
      </c>
      <c r="W151" s="392">
        <f>((O151*(1-(1+Assumptions!$G$46)^(-1*(G151-Q151))))/Assumptions!$G$46)</f>
        <v>501780.08938542713</v>
      </c>
      <c r="X151" s="283">
        <f t="shared" ref="X151:Z154" si="26">$M151*12</f>
        <v>30453.48</v>
      </c>
      <c r="Y151" s="181">
        <f t="shared" si="26"/>
        <v>30453.48</v>
      </c>
      <c r="Z151" s="181">
        <f t="shared" si="26"/>
        <v>30453.48</v>
      </c>
      <c r="AA151" s="284">
        <f>((X151*(1-(1+Assumptions!$H$40)^(-1*(G151-Q151))))/Assumptions!$H$40)</f>
        <v>338347.33537521161</v>
      </c>
      <c r="AB151" s="284">
        <f>((Y151*(1-(1+Assumptions!$I$40)^(-1*(G151-Q151))))/Assumptions!$I$40)</f>
        <v>338347.33537521161</v>
      </c>
      <c r="AC151" s="285">
        <f>((Z151*(1-(1+Assumptions!$J$40)^(-1*(G151-Q151))))/Assumptions!$J$40)</f>
        <v>338347.33537521161</v>
      </c>
      <c r="AD151" s="148">
        <f>((X151*(1-(1+Assumptions!$H$46)^(-1*(G151-Q151))))/Assumptions!$H$46)</f>
        <v>501780.08938542713</v>
      </c>
      <c r="AE151" s="148">
        <f>((Y151*(1-(1+Assumptions!$I$46)^(-1*(G151-Q151))))/Assumptions!$I$46)</f>
        <v>501780.08938542713</v>
      </c>
      <c r="AF151" s="148">
        <f>((Z151*(1-(1+Assumptions!$J$46)^(-1*(G151-Q151))))/Assumptions!$J$46)</f>
        <v>501780.08938542713</v>
      </c>
      <c r="AG151" s="145"/>
      <c r="AH151" s="148">
        <f>((AI151*(1-(1+Assumptions!$M$40)^(-1*(G151-Q151))))/Assumptions!$M$40)</f>
        <v>552210.87081532425</v>
      </c>
      <c r="AI151" s="411">
        <f>M151*12</f>
        <v>30453.48</v>
      </c>
      <c r="AJ151" s="148">
        <f>((AI151*(1-(1+Assumptions!$L$40)^(-1*(G151-Q151))))/Assumptions!$L$40)</f>
        <v>338347.33537521161</v>
      </c>
      <c r="AK151" s="148">
        <f>((AI151*(1-(1+Assumptions!$L$46)^(-1*(G151-Q151))))/Assumptions!$L$46)</f>
        <v>501780.08938542713</v>
      </c>
      <c r="AL151" s="148"/>
      <c r="AM151" s="3" t="s">
        <v>67</v>
      </c>
      <c r="AN151" s="197">
        <v>11139</v>
      </c>
      <c r="AO151" s="114"/>
      <c r="AP151" s="116"/>
      <c r="AQ151" s="114"/>
      <c r="AR151" s="116"/>
    </row>
    <row r="152" spans="1:44" x14ac:dyDescent="0.2">
      <c r="A152" s="3" t="s">
        <v>105</v>
      </c>
      <c r="B152" s="189">
        <v>116</v>
      </c>
      <c r="D152" s="256" t="s">
        <v>448</v>
      </c>
      <c r="F152" s="36" t="s">
        <v>5</v>
      </c>
      <c r="G152" s="5">
        <f>IF(F152="f",Assumptions!$E$39,Assumptions!$E$38)</f>
        <v>89.3</v>
      </c>
      <c r="H152" s="114">
        <v>8433</v>
      </c>
      <c r="I152" s="116">
        <v>25902</v>
      </c>
      <c r="J152" s="193">
        <v>34425</v>
      </c>
      <c r="K152" s="202"/>
      <c r="L152" s="203"/>
      <c r="M152" s="237">
        <v>2452.1799999999998</v>
      </c>
      <c r="O152" s="195">
        <f>M152*12</f>
        <v>29426.159999999996</v>
      </c>
      <c r="P152" s="7">
        <f>(AG72-I152)/365</f>
        <v>30.772602739726029</v>
      </c>
      <c r="Q152" s="39">
        <f>(AG72-H152)/365</f>
        <v>78.632876712328766</v>
      </c>
      <c r="R152" s="23"/>
      <c r="V152" s="392">
        <f>((O152*(1-(1+Assumptions!$G$40)^(-1*(G152-Q152))))/Assumptions!$G$40)</f>
        <v>196563.21119760355</v>
      </c>
      <c r="W152" s="392">
        <f>((O152*(1-(1+Assumptions!$G$46)^(-1*(G152-Q152))))/Assumptions!$G$46)</f>
        <v>226342.20087745044</v>
      </c>
      <c r="X152" s="283">
        <f t="shared" si="26"/>
        <v>29426.159999999996</v>
      </c>
      <c r="Y152" s="181">
        <f t="shared" si="26"/>
        <v>29426.159999999996</v>
      </c>
      <c r="Z152" s="181">
        <f t="shared" si="26"/>
        <v>29426.159999999996</v>
      </c>
      <c r="AA152" s="284">
        <f>((X152*(1-(1+Assumptions!$H$40)^(-1*(G152-Q152))))/Assumptions!$H$40)</f>
        <v>196563.21119760355</v>
      </c>
      <c r="AB152" s="284">
        <f>((Y152*(1-(1+Assumptions!$I$40)^(-1*(G152-Q152))))/Assumptions!$I$40)</f>
        <v>196563.21119760355</v>
      </c>
      <c r="AC152" s="285">
        <f>((Z152*(1-(1+Assumptions!$J$40)^(-1*(G152-Q152))))/Assumptions!$J$40)</f>
        <v>196563.21119760355</v>
      </c>
      <c r="AD152" s="148">
        <f>((X152*(1-(1+Assumptions!$H$46)^(-1*(G152-Q152))))/Assumptions!$H$46)</f>
        <v>226342.20087745044</v>
      </c>
      <c r="AE152" s="148">
        <f>((Y152*(1-(1+Assumptions!$I$46)^(-1*(G152-Q152))))/Assumptions!$I$46)</f>
        <v>226342.20087745044</v>
      </c>
      <c r="AF152" s="148">
        <f>((Z152*(1-(1+Assumptions!$J$46)^(-1*(G152-Q152))))/Assumptions!$J$46)</f>
        <v>226342.20087745044</v>
      </c>
      <c r="AG152" s="145"/>
      <c r="AH152" s="148">
        <f>((AI152*(1-(1+Assumptions!$M$40)^(-1*(G152-Q152))))/Assumptions!$M$40)</f>
        <v>232793.54206774736</v>
      </c>
      <c r="AI152" s="412">
        <f>M152*12</f>
        <v>29426.159999999996</v>
      </c>
      <c r="AJ152" s="148">
        <f>((AI152*(1-(1+Assumptions!$L$40)^(-1*(G152-Q152))))/Assumptions!$L$40)</f>
        <v>196563.21119760355</v>
      </c>
      <c r="AK152" s="148">
        <f>((AI152*(1-(1+Assumptions!$L$46)^(-1*(G152-Q152))))/Assumptions!$L$46)</f>
        <v>226342.20087745044</v>
      </c>
      <c r="AL152" s="148"/>
      <c r="AM152" s="3" t="s">
        <v>97</v>
      </c>
      <c r="AN152" s="3"/>
      <c r="AO152" s="114"/>
      <c r="AP152" s="116"/>
      <c r="AQ152" s="114"/>
      <c r="AR152" s="116"/>
    </row>
    <row r="153" spans="1:44" x14ac:dyDescent="0.2">
      <c r="A153" s="3" t="s">
        <v>105</v>
      </c>
      <c r="B153" s="189">
        <v>117</v>
      </c>
      <c r="D153" s="256" t="s">
        <v>449</v>
      </c>
      <c r="E153" s="253" t="s">
        <v>64</v>
      </c>
      <c r="F153" s="36" t="s">
        <v>5</v>
      </c>
      <c r="G153" s="5">
        <f>IF(F153="f",Assumptions!$E$39,Assumptions!$E$38)</f>
        <v>89.3</v>
      </c>
      <c r="H153" s="114">
        <v>10772</v>
      </c>
      <c r="I153" s="116">
        <v>24441</v>
      </c>
      <c r="J153" s="193">
        <v>36617</v>
      </c>
      <c r="K153" s="202"/>
      <c r="L153" s="203"/>
      <c r="M153" s="237">
        <v>3386.81</v>
      </c>
      <c r="O153" s="195">
        <f>M153*12</f>
        <v>40641.72</v>
      </c>
      <c r="P153" s="7">
        <f>(AG95-I153)/365</f>
        <v>-66.961643835616442</v>
      </c>
      <c r="Q153" s="39">
        <f>(AG95-H153)/365</f>
        <v>-29.512328767123286</v>
      </c>
      <c r="R153" s="23"/>
      <c r="V153" s="392">
        <f>((O153*(1-(1+Assumptions!$G$40)^(-1*(G153-Q153))))/Assumptions!$G$40)</f>
        <v>451558.52307395783</v>
      </c>
      <c r="W153" s="392">
        <f>((O153*(1-(1+Assumptions!$G$46)^(-1*(G153-Q153))))/Assumptions!$G$46)</f>
        <v>670037.92466184439</v>
      </c>
      <c r="X153" s="283">
        <f t="shared" si="26"/>
        <v>40641.72</v>
      </c>
      <c r="Y153" s="181">
        <f t="shared" si="26"/>
        <v>40641.72</v>
      </c>
      <c r="Z153" s="181">
        <f t="shared" si="26"/>
        <v>40641.72</v>
      </c>
      <c r="AA153" s="284">
        <f>((X153*(1-(1+Assumptions!$H$40)^(-1*(G153-Q153))))/Assumptions!$H$40)</f>
        <v>451558.52307395783</v>
      </c>
      <c r="AB153" s="284">
        <f>((Y153*(1-(1+Assumptions!$I$40)^(-1*(G153-Q153))))/Assumptions!$I$40)</f>
        <v>451558.52307395783</v>
      </c>
      <c r="AC153" s="285">
        <f>((Z153*(1-(1+Assumptions!$J$40)^(-1*(G153-Q153))))/Assumptions!$J$40)</f>
        <v>451558.52307395783</v>
      </c>
      <c r="AD153" s="148">
        <f>((X153*(1-(1+Assumptions!$H$46)^(-1*(G153-Q153))))/Assumptions!$H$46)</f>
        <v>670037.92466184439</v>
      </c>
      <c r="AE153" s="148">
        <f>((Y153*(1-(1+Assumptions!$I$46)^(-1*(G153-Q153))))/Assumptions!$I$46)</f>
        <v>670037.92466184439</v>
      </c>
      <c r="AF153" s="148">
        <f>((Z153*(1-(1+Assumptions!$J$46)^(-1*(G153-Q153))))/Assumptions!$J$46)</f>
        <v>670037.92466184439</v>
      </c>
      <c r="AG153" s="145"/>
      <c r="AH153" s="148">
        <f>((AI153*(1-(1+Assumptions!$M$40)^(-1*(G153-Q153))))/Assumptions!$M$40)</f>
        <v>737664.12904601276</v>
      </c>
      <c r="AI153" s="412">
        <f>M153*12</f>
        <v>40641.72</v>
      </c>
      <c r="AJ153" s="148">
        <f>((AI153*(1-(1+Assumptions!$L$40)^(-1*(G153-Q153))))/Assumptions!$L$40)</f>
        <v>451558.52307395783</v>
      </c>
      <c r="AK153" s="148">
        <f>((AI153*(1-(1+Assumptions!$L$46)^(-1*(G153-Q153))))/Assumptions!$L$46)</f>
        <v>670037.92466184439</v>
      </c>
      <c r="AL153" s="148"/>
      <c r="AM153" s="3" t="s">
        <v>99</v>
      </c>
      <c r="AN153" s="3" t="s">
        <v>64</v>
      </c>
      <c r="AO153" s="114"/>
      <c r="AP153" s="116"/>
      <c r="AQ153" s="114"/>
      <c r="AR153" s="116"/>
    </row>
    <row r="154" spans="1:44" x14ac:dyDescent="0.2">
      <c r="A154" s="180" t="s">
        <v>105</v>
      </c>
      <c r="B154" s="189">
        <v>118</v>
      </c>
      <c r="D154" s="256" t="s">
        <v>450</v>
      </c>
      <c r="E154" s="256" t="s">
        <v>520</v>
      </c>
      <c r="F154" s="36" t="s">
        <v>5</v>
      </c>
      <c r="G154" s="5">
        <f>IF(F154="f",Assumptions!$E$39,Assumptions!$E$38)</f>
        <v>89.3</v>
      </c>
      <c r="H154" s="114">
        <v>11191</v>
      </c>
      <c r="I154" s="116">
        <v>21519</v>
      </c>
      <c r="J154" s="305">
        <v>36982</v>
      </c>
      <c r="K154" s="202"/>
      <c r="L154" s="203"/>
      <c r="M154" s="237">
        <v>3108.9</v>
      </c>
      <c r="O154" s="195">
        <f>M154*12</f>
        <v>37306.800000000003</v>
      </c>
      <c r="P154" s="7">
        <f>(AG96-I154)/365</f>
        <v>-58.956164383561642</v>
      </c>
      <c r="Q154" s="39">
        <f>(AG96-H154)/365</f>
        <v>-30.660273972602738</v>
      </c>
      <c r="R154" s="23"/>
      <c r="V154" s="392">
        <f>((O154*(1-(1+Assumptions!$G$40)^(-1*(G154-Q154))))/Assumptions!$G$40)</f>
        <v>414506.57690874499</v>
      </c>
      <c r="W154" s="392">
        <f>((O154*(1-(1+Assumptions!$G$46)^(-1*(G154-Q154))))/Assumptions!$G$46)</f>
        <v>615093.93340093887</v>
      </c>
      <c r="X154" s="283">
        <f t="shared" si="26"/>
        <v>37306.800000000003</v>
      </c>
      <c r="Y154" s="181">
        <f t="shared" si="26"/>
        <v>37306.800000000003</v>
      </c>
      <c r="Z154" s="181">
        <f t="shared" si="26"/>
        <v>37306.800000000003</v>
      </c>
      <c r="AA154" s="284">
        <f>((X154*(1-(1+Assumptions!$H$40)^(-1*(G154-Q154))))/Assumptions!$H$40)</f>
        <v>414506.57690874499</v>
      </c>
      <c r="AB154" s="284">
        <f>((Y154*(1-(1+Assumptions!$I$40)^(-1*(G154-Q154))))/Assumptions!$I$40)</f>
        <v>414506.57690874499</v>
      </c>
      <c r="AC154" s="285">
        <f>((Z154*(1-(1+Assumptions!$J$40)^(-1*(G154-Q154))))/Assumptions!$J$40)</f>
        <v>414506.57690874499</v>
      </c>
      <c r="AD154" s="148">
        <f>((X154*(1-(1+Assumptions!$H$46)^(-1*(G154-Q154))))/Assumptions!$H$46)</f>
        <v>615093.93340093887</v>
      </c>
      <c r="AE154" s="148">
        <f>((Y154*(1-(1+Assumptions!$I$46)^(-1*(G154-Q154))))/Assumptions!$I$46)</f>
        <v>615093.93340093887</v>
      </c>
      <c r="AF154" s="148">
        <f>((Z154*(1-(1+Assumptions!$J$46)^(-1*(G154-Q154))))/Assumptions!$J$46)</f>
        <v>615093.93340093887</v>
      </c>
      <c r="AG154" s="145"/>
      <c r="AH154" s="148">
        <f>((AI154*(1-(1+Assumptions!$M$40)^(-1*(G154-Q154))))/Assumptions!$M$40)</f>
        <v>677203.77856372891</v>
      </c>
      <c r="AI154" s="412">
        <f>M154*12</f>
        <v>37306.800000000003</v>
      </c>
      <c r="AJ154" s="148">
        <f>((AI154*(1-(1+Assumptions!$L$40)^(-1*(G154-Q154))))/Assumptions!$L$40)</f>
        <v>414506.57690874499</v>
      </c>
      <c r="AK154" s="148">
        <f>((AI154*(1-(1+Assumptions!$L$46)^(-1*(G154-Q154))))/Assumptions!$L$46)</f>
        <v>615093.93340093887</v>
      </c>
      <c r="AL154" s="148"/>
      <c r="AM154" s="180" t="s">
        <v>242</v>
      </c>
      <c r="AN154" s="3"/>
      <c r="AO154" s="114"/>
      <c r="AP154" s="116"/>
      <c r="AQ154" s="114"/>
      <c r="AR154" s="116"/>
    </row>
    <row r="155" spans="1:44" x14ac:dyDescent="0.2">
      <c r="B155" s="189"/>
      <c r="D155" s="10" t="s">
        <v>102</v>
      </c>
      <c r="E155" s="253" t="s">
        <v>101</v>
      </c>
      <c r="F155" s="34"/>
      <c r="G155" s="8"/>
      <c r="H155" s="34"/>
      <c r="I155" s="34"/>
      <c r="J155" s="3" t="s">
        <v>95</v>
      </c>
      <c r="M155" s="237" t="s">
        <v>96</v>
      </c>
      <c r="O155" s="195"/>
      <c r="P155" s="8"/>
      <c r="Q155" s="41"/>
      <c r="R155" s="8"/>
      <c r="V155" s="277"/>
      <c r="W155" s="277"/>
      <c r="X155" s="299"/>
      <c r="Y155" s="284"/>
      <c r="Z155" s="284"/>
      <c r="AA155" s="284"/>
      <c r="AB155" s="284"/>
      <c r="AC155" s="285"/>
      <c r="AD155" s="284"/>
      <c r="AE155" s="284"/>
      <c r="AF155" s="284"/>
      <c r="AG155" s="145"/>
      <c r="AH155" s="181"/>
      <c r="AI155" s="412"/>
      <c r="AJ155" s="181"/>
      <c r="AK155" s="181"/>
      <c r="AL155" s="181"/>
      <c r="AM155" s="3" t="s">
        <v>91</v>
      </c>
      <c r="AN155" s="3" t="s">
        <v>100</v>
      </c>
      <c r="AO155" s="34"/>
      <c r="AP155" s="34"/>
      <c r="AQ155" s="114"/>
      <c r="AR155" s="116"/>
    </row>
    <row r="156" spans="1:44" x14ac:dyDescent="0.2">
      <c r="A156" s="3" t="s">
        <v>105</v>
      </c>
      <c r="B156" s="189">
        <f>B154+1</f>
        <v>119</v>
      </c>
      <c r="D156" s="256" t="s">
        <v>451</v>
      </c>
      <c r="E156" s="256" t="s">
        <v>521</v>
      </c>
      <c r="F156" s="36" t="s">
        <v>5</v>
      </c>
      <c r="G156" s="5">
        <f>IF(F156="f",Assumptions!$E$39,Assumptions!$E$38)</f>
        <v>89.3</v>
      </c>
      <c r="H156" s="115">
        <v>10769</v>
      </c>
      <c r="I156" s="116">
        <v>28498</v>
      </c>
      <c r="J156" s="193">
        <v>36617</v>
      </c>
      <c r="K156" s="202"/>
      <c r="L156" s="203"/>
      <c r="M156" s="237">
        <v>120.83</v>
      </c>
      <c r="O156" s="196">
        <f>M156*12</f>
        <v>1449.96</v>
      </c>
      <c r="P156" s="33">
        <v>4.8333000000000004</v>
      </c>
      <c r="Q156" s="39">
        <f>(AG73-H156)/365</f>
        <v>72.232876712328761</v>
      </c>
      <c r="R156" s="23"/>
      <c r="V156" s="392">
        <f>((O156*(1-(1+Assumptions!$G$40)^(-1*(G156-Q156))))/Assumptions!$G$40)</f>
        <v>12409.395896415675</v>
      </c>
      <c r="W156" s="392">
        <f>((O156*(1-(1+Assumptions!$G$46)^(-1*(G156-Q156))))/Assumptions!$G$46)</f>
        <v>15160.94995996328</v>
      </c>
      <c r="X156" s="283">
        <f>$M156*12</f>
        <v>1449.96</v>
      </c>
      <c r="Y156" s="181">
        <f>$M156*12</f>
        <v>1449.96</v>
      </c>
      <c r="Z156" s="181">
        <f>$M156*12</f>
        <v>1449.96</v>
      </c>
      <c r="AA156" s="284">
        <f>((X156*(1-(1+Assumptions!$H$40)^(-1*(G156-Q156))))/Assumptions!$H$40)</f>
        <v>12409.395896415675</v>
      </c>
      <c r="AB156" s="284">
        <f>((Y156*(1-(1+Assumptions!$I$40)^(-1*(G156-Q156))))/Assumptions!$I$40)</f>
        <v>12409.395896415675</v>
      </c>
      <c r="AC156" s="285">
        <f>((Z156*(1-(1+Assumptions!$J$40)^(-1*(G156-Q156))))/Assumptions!$J$40)</f>
        <v>12409.395896415675</v>
      </c>
      <c r="AD156" s="148">
        <f>((X156*(1-(1+Assumptions!$H$46)^(-1*(G156-Q156))))/Assumptions!$H$46)</f>
        <v>15160.94995996328</v>
      </c>
      <c r="AE156" s="148">
        <f>((Y156*(1-(1+Assumptions!$I$46)^(-1*(G156-Q156))))/Assumptions!$I$46)</f>
        <v>15160.94995996328</v>
      </c>
      <c r="AF156" s="148">
        <f>((Z156*(1-(1+Assumptions!$J$46)^(-1*(G156-Q156))))/Assumptions!$J$46)</f>
        <v>15160.94995996328</v>
      </c>
      <c r="AG156" s="145"/>
      <c r="AH156" s="148">
        <f>((AI156*(1-(1+Assumptions!$M$40)^(-1*(G156-Q156))))/Assumptions!$M$40)</f>
        <v>15791.308739043949</v>
      </c>
      <c r="AI156" s="413">
        <f>M156*12</f>
        <v>1449.96</v>
      </c>
      <c r="AJ156" s="148">
        <f>((AI156*(1-(1+Assumptions!$L$40)^(-1*(G156-Q156))))/Assumptions!$L$40)</f>
        <v>12409.395896415675</v>
      </c>
      <c r="AK156" s="148">
        <f>((AI156*(1-(1+Assumptions!$L$46)^(-1*(G156-Q156))))/Assumptions!$L$46)</f>
        <v>15160.94995996328</v>
      </c>
      <c r="AL156" s="148"/>
      <c r="AM156" s="3" t="s">
        <v>97</v>
      </c>
      <c r="AN156" s="3"/>
      <c r="AO156" s="115"/>
      <c r="AP156" s="116"/>
      <c r="AQ156" s="114"/>
      <c r="AR156" s="116"/>
    </row>
    <row r="157" spans="1:44" x14ac:dyDescent="0.2">
      <c r="B157" s="25"/>
      <c r="C157" s="25"/>
      <c r="D157" s="259"/>
      <c r="E157" s="259"/>
      <c r="F157" s="109"/>
      <c r="G157" s="25"/>
      <c r="H157" s="109"/>
      <c r="I157" s="109"/>
      <c r="J157" s="25"/>
      <c r="K157" s="25"/>
      <c r="L157" s="96"/>
      <c r="M157" s="246"/>
      <c r="N157" s="131"/>
      <c r="O157" s="86"/>
      <c r="P157" s="25"/>
      <c r="Q157" s="42"/>
      <c r="R157" s="25"/>
      <c r="S157" s="25"/>
      <c r="X157" s="286"/>
      <c r="Y157" s="287"/>
      <c r="Z157" s="287"/>
      <c r="AA157" s="287"/>
      <c r="AB157" s="287"/>
      <c r="AC157" s="288"/>
      <c r="AD157" s="377"/>
      <c r="AE157" s="377"/>
      <c r="AF157" s="377"/>
      <c r="AG157" s="145"/>
      <c r="AH157" s="86"/>
      <c r="AI157" s="289"/>
      <c r="AJ157" s="86"/>
      <c r="AK157" s="86"/>
      <c r="AL157" s="86"/>
      <c r="AM157" s="25"/>
      <c r="AN157" s="3"/>
      <c r="AO157" s="109"/>
      <c r="AP157" s="109"/>
      <c r="AQ157" s="114"/>
      <c r="AR157" s="116"/>
    </row>
    <row r="158" spans="1:44" x14ac:dyDescent="0.2">
      <c r="B158" s="25"/>
      <c r="C158" s="25"/>
      <c r="D158" s="259"/>
      <c r="E158" s="259"/>
      <c r="F158" s="109"/>
      <c r="G158" s="25"/>
      <c r="H158" s="109"/>
      <c r="I158" s="109"/>
      <c r="J158" s="25"/>
      <c r="K158" s="25"/>
      <c r="L158" s="96"/>
      <c r="M158" s="246"/>
      <c r="N158" s="131"/>
      <c r="O158" s="86"/>
      <c r="P158" s="25"/>
      <c r="Q158" s="42"/>
      <c r="R158" s="25"/>
      <c r="S158" s="25"/>
      <c r="X158" s="426"/>
      <c r="Y158" s="377"/>
      <c r="Z158" s="377"/>
      <c r="AA158" s="377"/>
      <c r="AB158" s="377"/>
      <c r="AC158" s="427"/>
      <c r="AG158" s="145"/>
      <c r="AH158" s="86"/>
      <c r="AI158" s="289"/>
      <c r="AJ158" s="86"/>
      <c r="AK158" s="86"/>
      <c r="AL158" s="86"/>
      <c r="AM158" s="25"/>
      <c r="AN158" s="3"/>
      <c r="AO158" s="109"/>
      <c r="AP158" s="109"/>
      <c r="AQ158" s="114"/>
      <c r="AR158" s="116"/>
    </row>
    <row r="159" spans="1:44" x14ac:dyDescent="0.2">
      <c r="D159" s="12" t="s">
        <v>33</v>
      </c>
      <c r="E159" s="101"/>
      <c r="F159" s="101"/>
      <c r="G159" s="12"/>
      <c r="X159" s="426"/>
      <c r="Y159" s="377"/>
      <c r="Z159" s="377"/>
      <c r="AA159" s="377"/>
      <c r="AB159" s="377"/>
      <c r="AC159" s="427"/>
      <c r="AG159" s="145"/>
      <c r="AH159" s="181"/>
      <c r="AI159" s="415"/>
      <c r="AJ159" s="181"/>
      <c r="AK159" s="181"/>
      <c r="AL159" s="181"/>
      <c r="AM159" s="204" t="s">
        <v>77</v>
      </c>
      <c r="AN159" s="3"/>
      <c r="AO159" s="104"/>
      <c r="AP159" s="104"/>
      <c r="AQ159" s="114"/>
      <c r="AR159" s="116"/>
    </row>
    <row r="160" spans="1:44" x14ac:dyDescent="0.2">
      <c r="C160" s="204" t="s">
        <v>76</v>
      </c>
      <c r="F160" s="105" t="s">
        <v>4</v>
      </c>
      <c r="G160" s="5"/>
      <c r="H160" s="105"/>
      <c r="J160" s="205" t="s">
        <v>38</v>
      </c>
      <c r="K160" s="205"/>
      <c r="L160" s="206"/>
      <c r="M160" s="247" t="s">
        <v>39</v>
      </c>
      <c r="N160" s="132"/>
      <c r="O160" s="207"/>
      <c r="P160" s="205" t="s">
        <v>36</v>
      </c>
      <c r="R160" s="205" t="s">
        <v>37</v>
      </c>
      <c r="X160" s="426"/>
      <c r="Y160" s="377"/>
      <c r="Z160" s="377"/>
      <c r="AA160" s="377"/>
      <c r="AB160" s="377"/>
      <c r="AC160" s="427"/>
      <c r="AG160" s="145"/>
      <c r="AH160" s="207"/>
      <c r="AI160" s="417"/>
      <c r="AJ160" s="207"/>
      <c r="AK160" s="207"/>
      <c r="AL160" s="207"/>
      <c r="AM160" s="205" t="s">
        <v>35</v>
      </c>
      <c r="AN160" s="205" t="s">
        <v>34</v>
      </c>
      <c r="AO160" s="105"/>
      <c r="AP160" s="104"/>
      <c r="AQ160" s="114"/>
      <c r="AR160" s="116"/>
    </row>
    <row r="161" spans="1:44" x14ac:dyDescent="0.2">
      <c r="C161" s="204" t="s">
        <v>75</v>
      </c>
      <c r="H161" s="105"/>
      <c r="J161" s="205" t="s">
        <v>73</v>
      </c>
      <c r="K161" s="205"/>
      <c r="L161" s="206"/>
      <c r="M161" s="247" t="s">
        <v>74</v>
      </c>
      <c r="N161" s="132"/>
      <c r="O161" s="207"/>
      <c r="P161" s="205" t="s">
        <v>30</v>
      </c>
      <c r="R161" s="205" t="s">
        <v>38</v>
      </c>
      <c r="X161" s="296"/>
      <c r="Y161" s="297"/>
      <c r="Z161" s="297"/>
      <c r="AA161" s="297"/>
      <c r="AB161" s="297"/>
      <c r="AC161" s="298"/>
      <c r="AD161" s="377"/>
      <c r="AE161" s="377"/>
      <c r="AF161" s="377"/>
      <c r="AG161" s="145"/>
      <c r="AH161" s="207"/>
      <c r="AI161" s="417"/>
      <c r="AJ161" s="207"/>
      <c r="AK161" s="207"/>
      <c r="AL161" s="207"/>
      <c r="AM161" s="3"/>
      <c r="AN161" s="205" t="s">
        <v>7</v>
      </c>
      <c r="AO161" s="105"/>
      <c r="AP161" s="104"/>
      <c r="AQ161" s="114"/>
      <c r="AR161" s="116"/>
    </row>
    <row r="162" spans="1:44" x14ac:dyDescent="0.2">
      <c r="A162" s="3" t="s">
        <v>108</v>
      </c>
      <c r="B162" s="3">
        <v>120</v>
      </c>
      <c r="C162" s="204" t="s">
        <v>103</v>
      </c>
      <c r="D162" s="256" t="s">
        <v>452</v>
      </c>
      <c r="F162" s="106" t="s">
        <v>5</v>
      </c>
      <c r="G162" s="5">
        <f>IF(F162="f",Assumptions!$E$39,Assumptions!$E$38)</f>
        <v>89.3</v>
      </c>
      <c r="H162" s="118">
        <v>13826</v>
      </c>
      <c r="I162" s="108"/>
      <c r="J162" s="303">
        <v>37136</v>
      </c>
      <c r="K162" s="205"/>
      <c r="L162" s="271"/>
      <c r="M162" s="247">
        <v>3000</v>
      </c>
      <c r="N162" s="132"/>
      <c r="O162" s="138">
        <f t="shared" ref="O162:O168" si="27">M162*12</f>
        <v>36000</v>
      </c>
      <c r="P162" s="32">
        <v>64.099999999999994</v>
      </c>
      <c r="R162" s="205">
        <v>64</v>
      </c>
      <c r="V162" s="392">
        <f>((O162*(1-(1+Assumptions!$G$40)^(-1*(G162-Q162))))/Assumptions!$G$40)</f>
        <v>399818.08281577931</v>
      </c>
      <c r="W162" s="392">
        <f>((O162*(1-(1+Assumptions!$G$46)^(-1*(G162-Q162))))/Assumptions!$G$46)</f>
        <v>590954.34618708293</v>
      </c>
      <c r="X162" s="283">
        <f t="shared" ref="X162:Z189" si="28">$M162*12</f>
        <v>36000</v>
      </c>
      <c r="Y162" s="181">
        <f t="shared" si="28"/>
        <v>36000</v>
      </c>
      <c r="Z162" s="181">
        <f t="shared" si="28"/>
        <v>36000</v>
      </c>
      <c r="AA162" s="284">
        <f>((X162*(1-(1+Assumptions!$H$40)^(-1*(G162-Q162))))/Assumptions!$H$40)</f>
        <v>399818.08281577931</v>
      </c>
      <c r="AB162" s="284">
        <f>((Y162*(1-(1+Assumptions!$I$40)^(-1*(G162-Q162))))/Assumptions!$I$40)</f>
        <v>399818.08281577931</v>
      </c>
      <c r="AC162" s="285">
        <f>((Z162*(1-(1+Assumptions!$J$40)^(-1*(G162-Q162))))/Assumptions!$J$40)</f>
        <v>399818.08281577931</v>
      </c>
      <c r="AD162" s="148">
        <f>((X162*(1-(1+Assumptions!$H$46)^(-1*(G162-Q162))))/Assumptions!$H$46)</f>
        <v>590954.34618708293</v>
      </c>
      <c r="AE162" s="148">
        <f>((Y162*(1-(1+Assumptions!$I$46)^(-1*(G162-Q162))))/Assumptions!$I$46)</f>
        <v>590954.34618708293</v>
      </c>
      <c r="AF162" s="148">
        <f>((Z162*(1-(1+Assumptions!$J$46)^(-1*(G162-Q162))))/Assumptions!$J$46)</f>
        <v>590954.34618708293</v>
      </c>
      <c r="AG162" s="145">
        <v>37134</v>
      </c>
      <c r="AH162" s="148">
        <f>((AI162*(1-(1+Assumptions!$M$40)^(-1*(G162-Q162))))/Assumptions!$M$40)</f>
        <v>649056.43008660828</v>
      </c>
      <c r="AI162" s="418">
        <f t="shared" ref="AI162:AI189" si="29">M162*12</f>
        <v>36000</v>
      </c>
      <c r="AJ162" s="148">
        <f>((AI162*(1-(1+Assumptions!$L$40)^(-1*(G162-Q162))))/Assumptions!$L$40)</f>
        <v>399818.08281577931</v>
      </c>
      <c r="AK162" s="148">
        <f>((AI162*(1-(1+Assumptions!$L$46)^(-1*(G162-Q162))))/Assumptions!$L$46)</f>
        <v>590954.34618708293</v>
      </c>
      <c r="AL162" s="148"/>
      <c r="AM162" s="3" t="s">
        <v>243</v>
      </c>
      <c r="AN162" s="205"/>
      <c r="AO162" s="118"/>
      <c r="AP162" s="108"/>
      <c r="AQ162" s="114"/>
      <c r="AR162" s="116"/>
    </row>
    <row r="163" spans="1:44" x14ac:dyDescent="0.2">
      <c r="A163" s="3" t="s">
        <v>108</v>
      </c>
      <c r="B163" s="3">
        <f>SUM(B162+1)</f>
        <v>121</v>
      </c>
      <c r="C163" s="204"/>
      <c r="D163" s="256" t="s">
        <v>453</v>
      </c>
      <c r="F163" s="106" t="s">
        <v>6</v>
      </c>
      <c r="G163" s="5">
        <f>IF(F163="f",Assumptions!$E$39,Assumptions!$E$38)</f>
        <v>81.8</v>
      </c>
      <c r="H163" s="118">
        <v>14919</v>
      </c>
      <c r="I163" s="108"/>
      <c r="J163" s="303">
        <v>37136</v>
      </c>
      <c r="K163" s="205"/>
      <c r="L163" s="271"/>
      <c r="M163" s="247">
        <v>2841.6</v>
      </c>
      <c r="N163" s="132"/>
      <c r="O163" s="139">
        <f t="shared" si="27"/>
        <v>34099.199999999997</v>
      </c>
      <c r="P163" s="32">
        <v>61.11</v>
      </c>
      <c r="R163" s="205">
        <v>61</v>
      </c>
      <c r="V163" s="392">
        <f>((O163*(1-(1+Assumptions!$G$40)^(-1*(G163-Q163))))/Assumptions!$G$40)</f>
        <v>378551.13765507727</v>
      </c>
      <c r="W163" s="392">
        <f>((O163*(1-(1+Assumptions!$G$46)^(-1*(G163-Q163))))/Assumptions!$G$46)</f>
        <v>558120.62081009767</v>
      </c>
      <c r="X163" s="283">
        <f t="shared" si="28"/>
        <v>34099.199999999997</v>
      </c>
      <c r="Y163" s="181">
        <f t="shared" si="28"/>
        <v>34099.199999999997</v>
      </c>
      <c r="Z163" s="181">
        <f t="shared" si="28"/>
        <v>34099.199999999997</v>
      </c>
      <c r="AA163" s="284">
        <f>((X163*(1-(1+Assumptions!$H$40)^(-1*(G163-Q163))))/Assumptions!$H$40)</f>
        <v>378551.13765507727</v>
      </c>
      <c r="AB163" s="284">
        <f>((Y163*(1-(1+Assumptions!$I$40)^(-1*(G163-Q163))))/Assumptions!$I$40)</f>
        <v>378551.13765507727</v>
      </c>
      <c r="AC163" s="285">
        <f>((Z163*(1-(1+Assumptions!$J$40)^(-1*(G163-Q163))))/Assumptions!$J$40)</f>
        <v>378551.13765507727</v>
      </c>
      <c r="AD163" s="148">
        <f>((X163*(1-(1+Assumptions!$H$46)^(-1*(G163-Q163))))/Assumptions!$H$46)</f>
        <v>558120.62081009767</v>
      </c>
      <c r="AE163" s="148">
        <f>((Y163*(1-(1+Assumptions!$I$46)^(-1*(G163-Q163))))/Assumptions!$I$46)</f>
        <v>558120.62081009767</v>
      </c>
      <c r="AF163" s="148">
        <f>((Z163*(1-(1+Assumptions!$J$46)^(-1*(G163-Q163))))/Assumptions!$J$46)</f>
        <v>558120.62081009767</v>
      </c>
      <c r="AG163" s="145">
        <v>37134</v>
      </c>
      <c r="AH163" s="148">
        <f>((AI163*(1-(1+Assumptions!$M$40)^(-1*(G163-Q163))))/Assumptions!$M$40)</f>
        <v>612217.0773870697</v>
      </c>
      <c r="AI163" s="419">
        <f t="shared" si="29"/>
        <v>34099.199999999997</v>
      </c>
      <c r="AJ163" s="148">
        <f>((AI163*(1-(1+Assumptions!$L$40)^(-1*(G163-Q163))))/Assumptions!$L$40)</f>
        <v>378551.13765507727</v>
      </c>
      <c r="AK163" s="148">
        <f>((AI163*(1-(1+Assumptions!$L$46)^(-1*(G163-Q163))))/Assumptions!$L$46)</f>
        <v>558120.62081009767</v>
      </c>
      <c r="AL163" s="148"/>
      <c r="AM163" s="3" t="s">
        <v>244</v>
      </c>
      <c r="AN163" s="205"/>
      <c r="AO163" s="118"/>
      <c r="AP163" s="108"/>
      <c r="AQ163" s="114"/>
      <c r="AR163" s="116"/>
    </row>
    <row r="164" spans="1:44" x14ac:dyDescent="0.2">
      <c r="A164" s="3" t="s">
        <v>108</v>
      </c>
      <c r="B164" s="3">
        <f t="shared" ref="B164:B189" si="30">SUM(B163+1)</f>
        <v>122</v>
      </c>
      <c r="C164" s="204"/>
      <c r="D164" s="256" t="s">
        <v>454</v>
      </c>
      <c r="F164" s="106" t="s">
        <v>5</v>
      </c>
      <c r="G164" s="5">
        <f>IF(F164="f",Assumptions!$E$39,Assumptions!$E$38)</f>
        <v>89.3</v>
      </c>
      <c r="H164" s="118">
        <v>17095</v>
      </c>
      <c r="J164" s="303">
        <v>37136</v>
      </c>
      <c r="K164" s="205"/>
      <c r="L164" s="271"/>
      <c r="M164" s="247">
        <v>1962.6</v>
      </c>
      <c r="N164" s="132"/>
      <c r="O164" s="139">
        <f t="shared" si="27"/>
        <v>23551.199999999997</v>
      </c>
      <c r="P164" s="32">
        <v>55.15</v>
      </c>
      <c r="R164" s="205">
        <v>55</v>
      </c>
      <c r="V164" s="392">
        <f>((O164*(1-(1+Assumptions!$G$40)^(-1*(G164-Q164))))/Assumptions!$G$40)</f>
        <v>261560.98977808276</v>
      </c>
      <c r="W164" s="392">
        <f>((O164*(1-(1+Assumptions!$G$46)^(-1*(G164-Q164))))/Assumptions!$G$46)</f>
        <v>386602.33327558957</v>
      </c>
      <c r="X164" s="283">
        <f t="shared" si="28"/>
        <v>23551.199999999997</v>
      </c>
      <c r="Y164" s="181">
        <f t="shared" si="28"/>
        <v>23551.199999999997</v>
      </c>
      <c r="Z164" s="181">
        <f t="shared" si="28"/>
        <v>23551.199999999997</v>
      </c>
      <c r="AA164" s="284">
        <f>((X164*(1-(1+Assumptions!$H$40)^(-1*(G164-Q164))))/Assumptions!$H$40)</f>
        <v>261560.98977808276</v>
      </c>
      <c r="AB164" s="284">
        <f>((Y164*(1-(1+Assumptions!$I$40)^(-1*(G164-Q164))))/Assumptions!$I$40)</f>
        <v>261560.98977808276</v>
      </c>
      <c r="AC164" s="285">
        <f>((Z164*(1-(1+Assumptions!$J$40)^(-1*(G164-Q164))))/Assumptions!$J$40)</f>
        <v>261560.98977808276</v>
      </c>
      <c r="AD164" s="148">
        <f>((X164*(1-(1+Assumptions!$H$46)^(-1*(G164-Q164))))/Assumptions!$H$46)</f>
        <v>386602.33327558957</v>
      </c>
      <c r="AE164" s="148">
        <f>((Y164*(1-(1+Assumptions!$I$46)^(-1*(G164-Q164))))/Assumptions!$I$46)</f>
        <v>386602.33327558957</v>
      </c>
      <c r="AF164" s="148">
        <f>((Z164*(1-(1+Assumptions!$J$46)^(-1*(G164-Q164))))/Assumptions!$J$46)</f>
        <v>386602.33327558957</v>
      </c>
      <c r="AG164" s="145">
        <v>37134</v>
      </c>
      <c r="AH164" s="148">
        <f>((AI164*(1-(1+Assumptions!$M$40)^(-1*(G164-Q164))))/Assumptions!$M$40)</f>
        <v>424612.71656265919</v>
      </c>
      <c r="AI164" s="419">
        <f t="shared" si="29"/>
        <v>23551.199999999997</v>
      </c>
      <c r="AJ164" s="148">
        <f>((AI164*(1-(1+Assumptions!$L$40)^(-1*(G164-Q164))))/Assumptions!$L$40)</f>
        <v>261560.98977808276</v>
      </c>
      <c r="AK164" s="148">
        <f>((AI164*(1-(1+Assumptions!$L$46)^(-1*(G164-Q164))))/Assumptions!$L$46)</f>
        <v>386602.33327558957</v>
      </c>
      <c r="AL164" s="148"/>
      <c r="AM164" s="180" t="s">
        <v>243</v>
      </c>
      <c r="AN164" s="205"/>
      <c r="AO164" s="118"/>
      <c r="AP164" s="104"/>
      <c r="AQ164" s="114"/>
      <c r="AR164" s="116"/>
    </row>
    <row r="165" spans="1:44" x14ac:dyDescent="0.2">
      <c r="A165" s="180" t="s">
        <v>108</v>
      </c>
      <c r="B165" s="3">
        <f t="shared" si="30"/>
        <v>123</v>
      </c>
      <c r="C165" s="204"/>
      <c r="D165" s="256" t="s">
        <v>455</v>
      </c>
      <c r="F165" s="106" t="s">
        <v>6</v>
      </c>
      <c r="G165" s="5">
        <f>IF(F165="f",Assumptions!$E$39,Assumptions!$E$38)</f>
        <v>81.8</v>
      </c>
      <c r="H165" s="118">
        <v>15933</v>
      </c>
      <c r="J165" s="303">
        <v>37136</v>
      </c>
      <c r="K165" s="205"/>
      <c r="L165" s="271"/>
      <c r="M165" s="247">
        <v>2437.5</v>
      </c>
      <c r="N165" s="132"/>
      <c r="O165" s="139">
        <f t="shared" si="27"/>
        <v>29250</v>
      </c>
      <c r="P165" s="32">
        <v>58.33</v>
      </c>
      <c r="R165" s="205">
        <v>58</v>
      </c>
      <c r="V165" s="392">
        <f>((O165*(1-(1+Assumptions!$G$40)^(-1*(G165-Q165))))/Assumptions!$G$40)</f>
        <v>324717.90471362998</v>
      </c>
      <c r="W165" s="392">
        <f>((O165*(1-(1+Assumptions!$G$46)^(-1*(G165-Q165))))/Assumptions!$G$46)</f>
        <v>478751.06039717526</v>
      </c>
      <c r="X165" s="283">
        <f t="shared" si="28"/>
        <v>29250</v>
      </c>
      <c r="Y165" s="181">
        <f t="shared" si="28"/>
        <v>29250</v>
      </c>
      <c r="Z165" s="181">
        <f t="shared" si="28"/>
        <v>29250</v>
      </c>
      <c r="AA165" s="284">
        <f>((X165*(1-(1+Assumptions!$H$40)^(-1*(G165-Q165))))/Assumptions!$H$40)</f>
        <v>324717.90471362998</v>
      </c>
      <c r="AB165" s="284">
        <f>((Y165*(1-(1+Assumptions!$I$40)^(-1*(G165-Q165))))/Assumptions!$I$40)</f>
        <v>324717.90471362998</v>
      </c>
      <c r="AC165" s="285">
        <f>((Z165*(1-(1+Assumptions!$J$40)^(-1*(G165-Q165))))/Assumptions!$J$40)</f>
        <v>324717.90471362998</v>
      </c>
      <c r="AD165" s="148">
        <f>((X165*(1-(1+Assumptions!$H$46)^(-1*(G165-Q165))))/Assumptions!$H$46)</f>
        <v>478751.06039717526</v>
      </c>
      <c r="AE165" s="148">
        <f>((Y165*(1-(1+Assumptions!$I$46)^(-1*(G165-Q165))))/Assumptions!$I$46)</f>
        <v>478751.06039717526</v>
      </c>
      <c r="AF165" s="148">
        <f>((Z165*(1-(1+Assumptions!$J$46)^(-1*(G165-Q165))))/Assumptions!$J$46)</f>
        <v>478751.06039717526</v>
      </c>
      <c r="AG165" s="145">
        <v>37134</v>
      </c>
      <c r="AH165" s="148">
        <f>((AI165*(1-(1+Assumptions!$M$40)^(-1*(G165-Q165))))/Assumptions!$M$40)</f>
        <v>525154.53481523867</v>
      </c>
      <c r="AI165" s="419">
        <f t="shared" si="29"/>
        <v>29250</v>
      </c>
      <c r="AJ165" s="148">
        <f>((AI165*(1-(1+Assumptions!$L$40)^(-1*(G165-Q165))))/Assumptions!$L$40)</f>
        <v>324717.90471362998</v>
      </c>
      <c r="AK165" s="148">
        <f>((AI165*(1-(1+Assumptions!$L$46)^(-1*(G165-Q165))))/Assumptions!$L$46)</f>
        <v>478751.06039717526</v>
      </c>
      <c r="AL165" s="148"/>
      <c r="AM165" s="180" t="s">
        <v>243</v>
      </c>
      <c r="AN165" s="205"/>
      <c r="AO165" s="118"/>
      <c r="AP165" s="104"/>
      <c r="AQ165" s="114"/>
      <c r="AR165" s="116"/>
    </row>
    <row r="166" spans="1:44" x14ac:dyDescent="0.2">
      <c r="A166" s="180" t="s">
        <v>108</v>
      </c>
      <c r="B166" s="3">
        <f t="shared" si="30"/>
        <v>124</v>
      </c>
      <c r="C166" s="204"/>
      <c r="D166" s="256" t="s">
        <v>456</v>
      </c>
      <c r="F166" s="106" t="s">
        <v>6</v>
      </c>
      <c r="G166" s="5">
        <f>IF(F166="f",Assumptions!$E$39,Assumptions!$E$38)</f>
        <v>81.8</v>
      </c>
      <c r="H166" s="118">
        <v>11000</v>
      </c>
      <c r="I166" s="108"/>
      <c r="J166" s="303">
        <v>36982</v>
      </c>
      <c r="K166" s="205"/>
      <c r="L166" s="271"/>
      <c r="M166" s="247">
        <v>2647.8</v>
      </c>
      <c r="N166" s="132"/>
      <c r="O166" s="139">
        <f t="shared" si="27"/>
        <v>31773.600000000002</v>
      </c>
      <c r="P166" s="32">
        <v>71.430000000000007</v>
      </c>
      <c r="R166" s="205">
        <v>71</v>
      </c>
      <c r="V166" s="392">
        <f>((O166*(1-(1+Assumptions!$G$40)^(-1*(G166-Q166))))/Assumptions!$G$40)</f>
        <v>352733.56640030746</v>
      </c>
      <c r="W166" s="392">
        <f>((O166*(1-(1+Assumptions!$G$46)^(-1*(G166-Q166))))/Assumptions!$G$46)</f>
        <v>520056.22880805779</v>
      </c>
      <c r="X166" s="283">
        <f t="shared" si="28"/>
        <v>31773.600000000002</v>
      </c>
      <c r="Y166" s="181">
        <f t="shared" si="28"/>
        <v>31773.600000000002</v>
      </c>
      <c r="Z166" s="181">
        <f t="shared" si="28"/>
        <v>31773.600000000002</v>
      </c>
      <c r="AA166" s="284">
        <f>((X166*(1-(1+Assumptions!$H$40)^(-1*(G166-Q166))))/Assumptions!$H$40)</f>
        <v>352733.56640030746</v>
      </c>
      <c r="AB166" s="284">
        <f>((Y166*(1-(1+Assumptions!$I$40)^(-1*(G166-Q166))))/Assumptions!$I$40)</f>
        <v>352733.56640030746</v>
      </c>
      <c r="AC166" s="285">
        <f>((Z166*(1-(1+Assumptions!$J$40)^(-1*(G166-Q166))))/Assumptions!$J$40)</f>
        <v>352733.56640030746</v>
      </c>
      <c r="AD166" s="148">
        <f>((X166*(1-(1+Assumptions!$H$46)^(-1*(G166-Q166))))/Assumptions!$H$46)</f>
        <v>520056.22880805779</v>
      </c>
      <c r="AE166" s="148">
        <f>((Y166*(1-(1+Assumptions!$I$46)^(-1*(G166-Q166))))/Assumptions!$I$46)</f>
        <v>520056.22880805779</v>
      </c>
      <c r="AF166" s="148">
        <f>((Z166*(1-(1+Assumptions!$J$46)^(-1*(G166-Q166))))/Assumptions!$J$46)</f>
        <v>520056.22880805779</v>
      </c>
      <c r="AG166" s="145">
        <v>37134</v>
      </c>
      <c r="AH166" s="148">
        <f>((AI166*(1-(1+Assumptions!$M$40)^(-1*(G166-Q166))))/Assumptions!$M$40)</f>
        <v>570463.25221899047</v>
      </c>
      <c r="AI166" s="419">
        <f t="shared" si="29"/>
        <v>31773.600000000002</v>
      </c>
      <c r="AJ166" s="148">
        <f>((AI166*(1-(1+Assumptions!$L$40)^(-1*(G166-Q166))))/Assumptions!$L$40)</f>
        <v>352733.56640030746</v>
      </c>
      <c r="AK166" s="148">
        <f>((AI166*(1-(1+Assumptions!$L$46)^(-1*(G166-Q166))))/Assumptions!$L$46)</f>
        <v>520056.22880805779</v>
      </c>
      <c r="AL166" s="148"/>
      <c r="AM166" s="180" t="s">
        <v>67</v>
      </c>
      <c r="AN166" s="205"/>
      <c r="AO166" s="118"/>
      <c r="AP166" s="108"/>
      <c r="AQ166" s="114"/>
      <c r="AR166" s="116"/>
    </row>
    <row r="167" spans="1:44" x14ac:dyDescent="0.2">
      <c r="A167" s="180" t="s">
        <v>108</v>
      </c>
      <c r="B167" s="3">
        <f t="shared" si="30"/>
        <v>125</v>
      </c>
      <c r="C167" s="204"/>
      <c r="D167" s="256" t="s">
        <v>457</v>
      </c>
      <c r="F167" s="106" t="s">
        <v>6</v>
      </c>
      <c r="G167" s="5">
        <f>IF(F167="f",Assumptions!$E$39,Assumptions!$E$38)</f>
        <v>81.8</v>
      </c>
      <c r="H167" s="118">
        <v>13314</v>
      </c>
      <c r="J167" s="303">
        <v>36982</v>
      </c>
      <c r="K167" s="205"/>
      <c r="L167" s="271"/>
      <c r="M167" s="247">
        <v>2843.4</v>
      </c>
      <c r="N167" s="132"/>
      <c r="O167" s="139">
        <f t="shared" si="27"/>
        <v>34120.800000000003</v>
      </c>
      <c r="P167" s="32">
        <v>65.09</v>
      </c>
      <c r="R167" s="205">
        <v>65</v>
      </c>
      <c r="V167" s="392">
        <f>((O167*(1-(1+Assumptions!$G$40)^(-1*(G167-Q167))))/Assumptions!$G$40)</f>
        <v>378790.92933855817</v>
      </c>
      <c r="W167" s="392">
        <f>((O167*(1-(1+Assumptions!$G$46)^(-1*(G167-Q167))))/Assumptions!$G$46)</f>
        <v>558474.16005469882</v>
      </c>
      <c r="X167" s="283">
        <f t="shared" si="28"/>
        <v>34120.800000000003</v>
      </c>
      <c r="Y167" s="181">
        <f t="shared" si="28"/>
        <v>34120.800000000003</v>
      </c>
      <c r="Z167" s="181">
        <f t="shared" si="28"/>
        <v>34120.800000000003</v>
      </c>
      <c r="AA167" s="284">
        <f>((X167*(1-(1+Assumptions!$H$40)^(-1*(G167-Q167))))/Assumptions!$H$40)</f>
        <v>378790.92933855817</v>
      </c>
      <c r="AB167" s="284">
        <f>((Y167*(1-(1+Assumptions!$I$40)^(-1*(G167-Q167))))/Assumptions!$I$40)</f>
        <v>378790.92933855817</v>
      </c>
      <c r="AC167" s="285">
        <f>((Z167*(1-(1+Assumptions!$J$40)^(-1*(G167-Q167))))/Assumptions!$J$40)</f>
        <v>378790.92933855817</v>
      </c>
      <c r="AD167" s="148">
        <f>((X167*(1-(1+Assumptions!$H$46)^(-1*(G167-Q167))))/Assumptions!$H$46)</f>
        <v>558474.16005469882</v>
      </c>
      <c r="AE167" s="148">
        <f>((Y167*(1-(1+Assumptions!$I$46)^(-1*(G167-Q167))))/Assumptions!$I$46)</f>
        <v>558474.16005469882</v>
      </c>
      <c r="AF167" s="148">
        <f>((Z167*(1-(1+Assumptions!$J$46)^(-1*(G167-Q167))))/Assumptions!$J$46)</f>
        <v>558474.16005469882</v>
      </c>
      <c r="AG167" s="145">
        <v>37134</v>
      </c>
      <c r="AH167" s="148">
        <f>((AI167*(1-(1+Assumptions!$M$40)^(-1*(G167-Q167))))/Assumptions!$M$40)</f>
        <v>612604.88381277944</v>
      </c>
      <c r="AI167" s="419">
        <f t="shared" si="29"/>
        <v>34120.800000000003</v>
      </c>
      <c r="AJ167" s="148">
        <f>((AI167*(1-(1+Assumptions!$L$40)^(-1*(G167-Q167))))/Assumptions!$L$40)</f>
        <v>378790.92933855817</v>
      </c>
      <c r="AK167" s="148">
        <f>((AI167*(1-(1+Assumptions!$L$46)^(-1*(G167-Q167))))/Assumptions!$L$46)</f>
        <v>558474.16005469882</v>
      </c>
      <c r="AL167" s="148"/>
      <c r="AM167" s="180" t="s">
        <v>244</v>
      </c>
      <c r="AN167" s="205"/>
      <c r="AO167" s="118"/>
      <c r="AP167" s="104"/>
      <c r="AQ167" s="114"/>
      <c r="AR167" s="116"/>
    </row>
    <row r="168" spans="1:44" x14ac:dyDescent="0.2">
      <c r="A168" s="180" t="s">
        <v>108</v>
      </c>
      <c r="B168" s="3">
        <f t="shared" si="30"/>
        <v>126</v>
      </c>
      <c r="C168" s="204"/>
      <c r="D168" s="256" t="s">
        <v>458</v>
      </c>
      <c r="F168" s="106" t="s">
        <v>5</v>
      </c>
      <c r="G168" s="5">
        <f>IF(F168="f",Assumptions!$E$39,Assumptions!$E$38)</f>
        <v>89.3</v>
      </c>
      <c r="H168" s="118">
        <v>15056</v>
      </c>
      <c r="J168" s="303">
        <v>36161</v>
      </c>
      <c r="K168" s="205"/>
      <c r="L168" s="271"/>
      <c r="M168" s="247">
        <v>1987.02</v>
      </c>
      <c r="N168" s="132"/>
      <c r="O168" s="139">
        <f t="shared" si="27"/>
        <v>23844.239999999998</v>
      </c>
      <c r="P168" s="32">
        <v>58.07</v>
      </c>
      <c r="R168" s="205">
        <v>61</v>
      </c>
      <c r="V168" s="392">
        <f>((O168*(1-(1+Assumptions!$G$40)^(-1*(G168-Q168))))/Assumptions!$G$40)</f>
        <v>264815.50897220324</v>
      </c>
      <c r="W168" s="392">
        <f>((O168*(1-(1+Assumptions!$G$46)^(-1*(G168-Q168))))/Assumptions!$G$46)</f>
        <v>391412.70165355247</v>
      </c>
      <c r="X168" s="283">
        <f t="shared" si="28"/>
        <v>23844.239999999998</v>
      </c>
      <c r="Y168" s="181">
        <f t="shared" si="28"/>
        <v>23844.239999999998</v>
      </c>
      <c r="Z168" s="181">
        <f t="shared" si="28"/>
        <v>23844.239999999998</v>
      </c>
      <c r="AA168" s="284">
        <f>((X168*(1-(1+Assumptions!$H$40)^(-1*(G168-Q168))))/Assumptions!$H$40)</f>
        <v>264815.50897220324</v>
      </c>
      <c r="AB168" s="284">
        <f>((Y168*(1-(1+Assumptions!$I$40)^(-1*(G168-Q168))))/Assumptions!$I$40)</f>
        <v>264815.50897220324</v>
      </c>
      <c r="AC168" s="285">
        <f>((Z168*(1-(1+Assumptions!$J$40)^(-1*(G168-Q168))))/Assumptions!$J$40)</f>
        <v>264815.50897220324</v>
      </c>
      <c r="AD168" s="148">
        <f>((X168*(1-(1+Assumptions!$H$46)^(-1*(G168-Q168))))/Assumptions!$H$46)</f>
        <v>391412.70165355247</v>
      </c>
      <c r="AE168" s="148">
        <f>((Y168*(1-(1+Assumptions!$I$46)^(-1*(G168-Q168))))/Assumptions!$I$46)</f>
        <v>391412.70165355247</v>
      </c>
      <c r="AF168" s="148">
        <f>((Z168*(1-(1+Assumptions!$J$46)^(-1*(G168-Q168))))/Assumptions!$J$46)</f>
        <v>391412.70165355247</v>
      </c>
      <c r="AG168" s="145">
        <v>37134</v>
      </c>
      <c r="AH168" s="148">
        <f>((AI168*(1-(1+Assumptions!$M$40)^(-1*(G168-Q168))))/Assumptions!$M$40)</f>
        <v>429896.03590356413</v>
      </c>
      <c r="AI168" s="419">
        <f t="shared" si="29"/>
        <v>23844.239999999998</v>
      </c>
      <c r="AJ168" s="148">
        <f>((AI168*(1-(1+Assumptions!$L$40)^(-1*(G168-Q168))))/Assumptions!$L$40)</f>
        <v>264815.50897220324</v>
      </c>
      <c r="AK168" s="148">
        <f>((AI168*(1-(1+Assumptions!$L$46)^(-1*(G168-Q168))))/Assumptions!$L$46)</f>
        <v>391412.70165355247</v>
      </c>
      <c r="AL168" s="148"/>
      <c r="AM168" s="180" t="s">
        <v>41</v>
      </c>
      <c r="AN168" s="205"/>
      <c r="AO168" s="118"/>
      <c r="AP168" s="104"/>
      <c r="AQ168" s="114"/>
      <c r="AR168" s="116"/>
    </row>
    <row r="169" spans="1:44" x14ac:dyDescent="0.2">
      <c r="A169" s="3" t="s">
        <v>108</v>
      </c>
      <c r="B169" s="3">
        <f t="shared" si="30"/>
        <v>127</v>
      </c>
      <c r="C169" s="3" t="s">
        <v>103</v>
      </c>
      <c r="D169" s="256" t="s">
        <v>459</v>
      </c>
      <c r="F169" s="106" t="s">
        <v>6</v>
      </c>
      <c r="G169" s="5">
        <f>IF(F169="f",Assumptions!$E$39,Assumptions!$E$38)</f>
        <v>81.8</v>
      </c>
      <c r="H169" s="116">
        <v>13848</v>
      </c>
      <c r="J169" s="304">
        <v>36923</v>
      </c>
      <c r="K169" s="208"/>
      <c r="L169" s="198"/>
      <c r="M169" s="242">
        <v>2947.2</v>
      </c>
      <c r="N169" s="125"/>
      <c r="O169" s="139">
        <f t="shared" ref="O169:O189" si="31">M169*12</f>
        <v>35366.399999999994</v>
      </c>
      <c r="P169" s="32">
        <v>40</v>
      </c>
      <c r="Q169" s="39"/>
      <c r="R169" s="267">
        <v>64</v>
      </c>
      <c r="V169" s="392">
        <f>((O169*(1-(1+Assumptions!$G$40)^(-1*(G169-Q169))))/Assumptions!$G$40)</f>
        <v>392618.91641928622</v>
      </c>
      <c r="W169" s="392">
        <f>((O169*(1-(1+Assumptions!$G$46)^(-1*(G169-Q169))))/Assumptions!$G$46)</f>
        <v>578861.58982668922</v>
      </c>
      <c r="X169" s="283">
        <f t="shared" si="28"/>
        <v>35366.399999999994</v>
      </c>
      <c r="Y169" s="181">
        <f t="shared" si="28"/>
        <v>35366.399999999994</v>
      </c>
      <c r="Z169" s="181">
        <f t="shared" si="28"/>
        <v>35366.399999999994</v>
      </c>
      <c r="AA169" s="284">
        <f>((X169*(1-(1+Assumptions!$H$40)^(-1*(G169-Q169))))/Assumptions!$H$40)</f>
        <v>392618.91641928622</v>
      </c>
      <c r="AB169" s="284">
        <f>((Y169*(1-(1+Assumptions!$I$40)^(-1*(G169-Q169))))/Assumptions!$I$40)</f>
        <v>392618.91641928622</v>
      </c>
      <c r="AC169" s="285">
        <f>((Z169*(1-(1+Assumptions!$J$40)^(-1*(G169-Q169))))/Assumptions!$J$40)</f>
        <v>392618.91641928622</v>
      </c>
      <c r="AD169" s="148">
        <f>((X169*(1-(1+Assumptions!$H$46)^(-1*(G169-Q169))))/Assumptions!$H$46)</f>
        <v>578861.58982668922</v>
      </c>
      <c r="AE169" s="148">
        <f>((Y169*(1-(1+Assumptions!$I$46)^(-1*(G169-Q169))))/Assumptions!$I$46)</f>
        <v>578861.58982668922</v>
      </c>
      <c r="AF169" s="148">
        <f>((Z169*(1-(1+Assumptions!$J$46)^(-1*(G169-Q169))))/Assumptions!$J$46)</f>
        <v>578861.58982668922</v>
      </c>
      <c r="AG169" s="145">
        <v>37134</v>
      </c>
      <c r="AH169" s="148">
        <f>((AI169*(1-(1+Assumptions!$M$40)^(-1*(G169-Q169))))/Assumptions!$M$40)</f>
        <v>634968.38769537292</v>
      </c>
      <c r="AI169" s="419">
        <f t="shared" si="29"/>
        <v>35366.399999999994</v>
      </c>
      <c r="AJ169" s="148">
        <f>((AI169*(1-(1+Assumptions!$L$40)^(-1*(G169-Q169))))/Assumptions!$L$40)</f>
        <v>392618.91641928622</v>
      </c>
      <c r="AK169" s="148">
        <f>((AI169*(1-(1+Assumptions!$L$46)^(-1*(G169-Q169))))/Assumptions!$L$46)</f>
        <v>578861.58982668922</v>
      </c>
      <c r="AL169" s="148"/>
      <c r="AM169" s="3" t="s">
        <v>72</v>
      </c>
      <c r="AN169" s="209">
        <v>13736</v>
      </c>
      <c r="AO169" s="116"/>
      <c r="AP169" s="104"/>
      <c r="AQ169" s="114"/>
      <c r="AR169" s="116"/>
    </row>
    <row r="170" spans="1:44" x14ac:dyDescent="0.2">
      <c r="A170" s="3" t="s">
        <v>108</v>
      </c>
      <c r="B170" s="3">
        <f t="shared" si="30"/>
        <v>128</v>
      </c>
      <c r="C170" s="210">
        <v>450</v>
      </c>
      <c r="D170" s="256" t="s">
        <v>460</v>
      </c>
      <c r="F170" s="106" t="s">
        <v>6</v>
      </c>
      <c r="G170" s="5">
        <f>IF(F170="f",Assumptions!$E$39,Assumptions!$E$38)</f>
        <v>81.8</v>
      </c>
      <c r="H170" s="118">
        <v>11587</v>
      </c>
      <c r="J170" s="209">
        <v>36404</v>
      </c>
      <c r="K170" s="211"/>
      <c r="L170" s="212"/>
      <c r="M170" s="248">
        <v>2864.94</v>
      </c>
      <c r="N170" s="133"/>
      <c r="O170" s="139">
        <f t="shared" si="31"/>
        <v>34379.279999999999</v>
      </c>
      <c r="P170" s="32">
        <v>32</v>
      </c>
      <c r="R170" s="205">
        <v>68</v>
      </c>
      <c r="V170" s="392">
        <f>((O170*(1-(1+Assumptions!$G$40)^(-1*(G170-Q170))))/Assumptions!$G$40)</f>
        <v>381660.43648421206</v>
      </c>
      <c r="W170" s="392">
        <f>((O170*(1-(1+Assumptions!$G$46)^(-1*(G170-Q170))))/Assumptions!$G$46)</f>
        <v>562704.84634842398</v>
      </c>
      <c r="X170" s="283">
        <f t="shared" si="28"/>
        <v>34379.279999999999</v>
      </c>
      <c r="Y170" s="181">
        <f t="shared" si="28"/>
        <v>34379.279999999999</v>
      </c>
      <c r="Z170" s="181">
        <f t="shared" si="28"/>
        <v>34379.279999999999</v>
      </c>
      <c r="AA170" s="284">
        <f>((X170*(1-(1+Assumptions!$H$40)^(-1*(G170-Q170))))/Assumptions!$H$40)</f>
        <v>381660.43648421206</v>
      </c>
      <c r="AB170" s="284">
        <f>((Y170*(1-(1+Assumptions!$I$40)^(-1*(G170-Q170))))/Assumptions!$I$40)</f>
        <v>381660.43648421206</v>
      </c>
      <c r="AC170" s="285">
        <f>((Z170*(1-(1+Assumptions!$J$40)^(-1*(G170-Q170))))/Assumptions!$J$40)</f>
        <v>381660.43648421206</v>
      </c>
      <c r="AD170" s="148">
        <f>((X170*(1-(1+Assumptions!$H$46)^(-1*(G170-Q170))))/Assumptions!$H$46)</f>
        <v>562704.84634842398</v>
      </c>
      <c r="AE170" s="148">
        <f>((Y170*(1-(1+Assumptions!$I$46)^(-1*(G170-Q170))))/Assumptions!$I$46)</f>
        <v>562704.84634842398</v>
      </c>
      <c r="AF170" s="148">
        <f>((Z170*(1-(1+Assumptions!$J$46)^(-1*(G170-Q170))))/Assumptions!$J$46)</f>
        <v>562704.84634842398</v>
      </c>
      <c r="AG170" s="145">
        <v>37134</v>
      </c>
      <c r="AH170" s="148">
        <f>((AI170*(1-(1+Assumptions!$M$40)^(-1*(G170-Q170))))/Assumptions!$M$40)</f>
        <v>617245.63404043904</v>
      </c>
      <c r="AI170" s="419">
        <f t="shared" si="29"/>
        <v>34379.279999999999</v>
      </c>
      <c r="AJ170" s="148">
        <f>((AI170*(1-(1+Assumptions!$L$40)^(-1*(G170-Q170))))/Assumptions!$L$40)</f>
        <v>381660.43648421206</v>
      </c>
      <c r="AK170" s="148">
        <f>((AI170*(1-(1+Assumptions!$L$46)^(-1*(G170-Q170))))/Assumptions!$L$46)</f>
        <v>562704.84634842398</v>
      </c>
      <c r="AL170" s="148"/>
      <c r="AM170" s="3" t="s">
        <v>67</v>
      </c>
      <c r="AN170" s="15">
        <v>46665</v>
      </c>
      <c r="AO170" s="118"/>
      <c r="AP170" s="104"/>
      <c r="AQ170" s="114"/>
      <c r="AR170" s="116"/>
    </row>
    <row r="171" spans="1:44" x14ac:dyDescent="0.2">
      <c r="A171" s="3" t="s">
        <v>108</v>
      </c>
      <c r="B171" s="3">
        <f t="shared" si="30"/>
        <v>129</v>
      </c>
      <c r="C171" s="210"/>
      <c r="D171" s="256" t="s">
        <v>461</v>
      </c>
      <c r="F171" s="106" t="s">
        <v>6</v>
      </c>
      <c r="G171" s="5">
        <f>IF(F171="f",Assumptions!$E$39,Assumptions!$E$38)</f>
        <v>81.8</v>
      </c>
      <c r="H171" s="118">
        <v>12427</v>
      </c>
      <c r="J171" s="209">
        <v>36404</v>
      </c>
      <c r="K171" s="211"/>
      <c r="L171" s="212"/>
      <c r="M171" s="248">
        <v>3327.06</v>
      </c>
      <c r="N171" s="133"/>
      <c r="O171" s="139">
        <f t="shared" si="31"/>
        <v>39924.720000000001</v>
      </c>
      <c r="P171" s="32">
        <v>36</v>
      </c>
      <c r="R171" s="205">
        <v>65</v>
      </c>
      <c r="V171" s="392">
        <f>((O171*(1-(1+Assumptions!$G$40)^(-1*(G171-Q171))))/Assumptions!$G$40)</f>
        <v>443222.95468985831</v>
      </c>
      <c r="W171" s="392">
        <f>((O171*(1-(1+Assumptions!$G$46)^(-1*(G171-Q171))))/Assumptions!$G$46)</f>
        <v>653470.15507898503</v>
      </c>
      <c r="X171" s="283">
        <f t="shared" si="28"/>
        <v>39924.720000000001</v>
      </c>
      <c r="Y171" s="181">
        <f t="shared" si="28"/>
        <v>39924.720000000001</v>
      </c>
      <c r="Z171" s="181">
        <f t="shared" si="28"/>
        <v>39924.720000000001</v>
      </c>
      <c r="AA171" s="284">
        <f>((X171*(1-(1+Assumptions!$H$40)^(-1*(G171-Q171))))/Assumptions!$H$40)</f>
        <v>443222.95468985831</v>
      </c>
      <c r="AB171" s="284">
        <f>((Y171*(1-(1+Assumptions!$I$40)^(-1*(G171-Q171))))/Assumptions!$I$40)</f>
        <v>443222.95468985831</v>
      </c>
      <c r="AC171" s="285">
        <f>((Z171*(1-(1+Assumptions!$J$40)^(-1*(G171-Q171))))/Assumptions!$J$40)</f>
        <v>443222.95468985831</v>
      </c>
      <c r="AD171" s="148">
        <f>((X171*(1-(1+Assumptions!$H$46)^(-1*(G171-Q171))))/Assumptions!$H$46)</f>
        <v>653470.15507898503</v>
      </c>
      <c r="AE171" s="148">
        <f>((Y171*(1-(1+Assumptions!$I$46)^(-1*(G171-Q171))))/Assumptions!$I$46)</f>
        <v>653470.15507898503</v>
      </c>
      <c r="AF171" s="148">
        <f>((Z171*(1-(1+Assumptions!$J$46)^(-1*(G171-Q171))))/Assumptions!$J$46)</f>
        <v>653470.15507898503</v>
      </c>
      <c r="AG171" s="145">
        <v>37134</v>
      </c>
      <c r="AH171" s="148">
        <f>((AI171*(1-(1+Assumptions!$M$40)^(-1*(G171-Q171))))/Assumptions!$M$40)</f>
        <v>716808.47040097986</v>
      </c>
      <c r="AI171" s="419">
        <f t="shared" si="29"/>
        <v>39924.720000000001</v>
      </c>
      <c r="AJ171" s="148">
        <f>((AI171*(1-(1+Assumptions!$L$40)^(-1*(G171-Q171))))/Assumptions!$L$40)</f>
        <v>443222.95468985831</v>
      </c>
      <c r="AK171" s="148">
        <f>((AI171*(1-(1+Assumptions!$L$46)^(-1*(G171-Q171))))/Assumptions!$L$46)</f>
        <v>653470.15507898503</v>
      </c>
      <c r="AL171" s="148"/>
      <c r="AM171" s="3" t="s">
        <v>65</v>
      </c>
      <c r="AN171" s="16"/>
      <c r="AO171" s="118"/>
      <c r="AP171" s="104"/>
      <c r="AQ171" s="114"/>
      <c r="AR171" s="116"/>
    </row>
    <row r="172" spans="1:44" x14ac:dyDescent="0.2">
      <c r="A172" s="3" t="s">
        <v>108</v>
      </c>
      <c r="B172" s="3">
        <f t="shared" si="30"/>
        <v>130</v>
      </c>
      <c r="C172" s="210">
        <v>0</v>
      </c>
      <c r="D172" s="256" t="s">
        <v>462</v>
      </c>
      <c r="F172" s="106" t="s">
        <v>6</v>
      </c>
      <c r="G172" s="5">
        <f>IF(F172="f",Assumptions!$E$39,Assumptions!$E$38)</f>
        <v>81.8</v>
      </c>
      <c r="H172" s="118">
        <v>11400</v>
      </c>
      <c r="J172" s="209">
        <v>36039</v>
      </c>
      <c r="K172" s="211"/>
      <c r="L172" s="212"/>
      <c r="M172" s="248">
        <v>2405.64</v>
      </c>
      <c r="N172" s="133"/>
      <c r="O172" s="139">
        <f t="shared" si="31"/>
        <v>28867.68</v>
      </c>
      <c r="P172" s="32">
        <v>37</v>
      </c>
      <c r="R172" s="205">
        <v>67</v>
      </c>
      <c r="V172" s="392">
        <f>((O172*(1-(1+Assumptions!$G$40)^(-1*(G172-Q172))))/Assumptions!$G$40)</f>
        <v>320473.59191601921</v>
      </c>
      <c r="W172" s="392">
        <f>((O172*(1-(1+Assumptions!$G$46)^(-1*(G172-Q172))))/Assumptions!$G$46)</f>
        <v>472493.41576773772</v>
      </c>
      <c r="X172" s="283">
        <f t="shared" si="28"/>
        <v>28867.68</v>
      </c>
      <c r="Y172" s="181">
        <f t="shared" si="28"/>
        <v>28867.68</v>
      </c>
      <c r="Z172" s="181">
        <f t="shared" si="28"/>
        <v>28867.68</v>
      </c>
      <c r="AA172" s="284">
        <f>((X172*(1-(1+Assumptions!$H$40)^(-1*(G172-Q172))))/Assumptions!$H$40)</f>
        <v>320473.59191601921</v>
      </c>
      <c r="AB172" s="284">
        <f>((Y172*(1-(1+Assumptions!$I$40)^(-1*(G172-Q172))))/Assumptions!$I$40)</f>
        <v>320473.59191601921</v>
      </c>
      <c r="AC172" s="285">
        <f>((Z172*(1-(1+Assumptions!$J$40)^(-1*(G172-Q172))))/Assumptions!$J$40)</f>
        <v>320473.59191601921</v>
      </c>
      <c r="AD172" s="148">
        <f>((X172*(1-(1+Assumptions!$H$46)^(-1*(G172-Q172))))/Assumptions!$H$46)</f>
        <v>472493.41576773772</v>
      </c>
      <c r="AE172" s="148">
        <f>((Y172*(1-(1+Assumptions!$I$46)^(-1*(G172-Q172))))/Assumptions!$I$46)</f>
        <v>472493.41576773772</v>
      </c>
      <c r="AF172" s="148">
        <f>((Z172*(1-(1+Assumptions!$J$46)^(-1*(G172-Q172))))/Assumptions!$J$46)</f>
        <v>472493.41576773772</v>
      </c>
      <c r="AG172" s="145">
        <v>37134</v>
      </c>
      <c r="AH172" s="148">
        <f>((AI172*(1-(1+Assumptions!$M$40)^(-1*(G172-Q172))))/Assumptions!$M$40)</f>
        <v>518290.36108017678</v>
      </c>
      <c r="AI172" s="419">
        <f t="shared" si="29"/>
        <v>28867.68</v>
      </c>
      <c r="AJ172" s="148">
        <f>((AI172*(1-(1+Assumptions!$L$40)^(-1*(G172-Q172))))/Assumptions!$L$40)</f>
        <v>320473.59191601921</v>
      </c>
      <c r="AK172" s="148">
        <f>((AI172*(1-(1+Assumptions!$L$46)^(-1*(G172-Q172))))/Assumptions!$L$46)</f>
        <v>472493.41576773772</v>
      </c>
      <c r="AL172" s="148"/>
      <c r="AM172" s="3" t="s">
        <v>72</v>
      </c>
      <c r="AN172" s="15">
        <v>11101</v>
      </c>
      <c r="AO172" s="118"/>
      <c r="AP172" s="104"/>
      <c r="AQ172" s="114"/>
      <c r="AR172" s="116"/>
    </row>
    <row r="173" spans="1:44" x14ac:dyDescent="0.2">
      <c r="A173" s="3" t="s">
        <v>108</v>
      </c>
      <c r="B173" s="3">
        <f t="shared" si="30"/>
        <v>131</v>
      </c>
      <c r="C173" s="210">
        <v>50</v>
      </c>
      <c r="D173" s="256" t="s">
        <v>463</v>
      </c>
      <c r="F173" s="106" t="s">
        <v>6</v>
      </c>
      <c r="G173" s="5">
        <f>IF(F173="f",Assumptions!$E$39,Assumptions!$E$38)</f>
        <v>81.8</v>
      </c>
      <c r="H173" s="118">
        <v>13137</v>
      </c>
      <c r="J173" s="209">
        <v>36039</v>
      </c>
      <c r="K173" s="211"/>
      <c r="L173" s="212"/>
      <c r="M173" s="248">
        <v>1626.26</v>
      </c>
      <c r="N173" s="133"/>
      <c r="O173" s="139">
        <f t="shared" si="31"/>
        <v>19515.12</v>
      </c>
      <c r="P173" s="32">
        <v>21</v>
      </c>
      <c r="R173" s="205">
        <v>63</v>
      </c>
      <c r="V173" s="392">
        <f>((O173*(1-(1+Assumptions!$G$40)^(-1*(G173-Q173))))/Assumptions!$G$40)</f>
        <v>216646.45732085654</v>
      </c>
      <c r="W173" s="392">
        <f>((O173*(1-(1+Assumptions!$G$46)^(-1*(G173-Q173))))/Assumptions!$G$46)</f>
        <v>319414.85106933751</v>
      </c>
      <c r="X173" s="283">
        <f t="shared" si="28"/>
        <v>19515.12</v>
      </c>
      <c r="Y173" s="181">
        <f t="shared" si="28"/>
        <v>19515.12</v>
      </c>
      <c r="Z173" s="181">
        <f t="shared" si="28"/>
        <v>19515.12</v>
      </c>
      <c r="AA173" s="284">
        <f>((X173*(1-(1+Assumptions!$H$40)^(-1*(G173-Q173))))/Assumptions!$H$40)</f>
        <v>216646.45732085654</v>
      </c>
      <c r="AB173" s="284">
        <f>((Y173*(1-(1+Assumptions!$I$40)^(-1*(G173-Q173))))/Assumptions!$I$40)</f>
        <v>216646.45732085654</v>
      </c>
      <c r="AC173" s="285">
        <f>((Z173*(1-(1+Assumptions!$J$40)^(-1*(G173-Q173))))/Assumptions!$J$40)</f>
        <v>216646.45732085654</v>
      </c>
      <c r="AD173" s="148">
        <f>((X173*(1-(1+Assumptions!$H$46)^(-1*(G173-Q173))))/Assumptions!$H$46)</f>
        <v>319414.85106933751</v>
      </c>
      <c r="AE173" s="148">
        <f>((Y173*(1-(1+Assumptions!$I$46)^(-1*(G173-Q173))))/Assumptions!$I$46)</f>
        <v>319414.85106933751</v>
      </c>
      <c r="AF173" s="148">
        <f>((Z173*(1-(1+Assumptions!$J$46)^(-1*(G173-Q173))))/Assumptions!$J$46)</f>
        <v>319414.85106933751</v>
      </c>
      <c r="AG173" s="145">
        <v>37134</v>
      </c>
      <c r="AH173" s="148">
        <f>((AI173*(1-(1+Assumptions!$M$40)^(-1*(G173-Q173))))/Assumptions!$M$40)</f>
        <v>350374.48770815594</v>
      </c>
      <c r="AI173" s="419">
        <f t="shared" si="29"/>
        <v>19515.12</v>
      </c>
      <c r="AJ173" s="148">
        <f>((AI173*(1-(1+Assumptions!$L$40)^(-1*(G173-Q173))))/Assumptions!$L$40)</f>
        <v>216646.45732085654</v>
      </c>
      <c r="AK173" s="148">
        <f>((AI173*(1-(1+Assumptions!$L$46)^(-1*(G173-Q173))))/Assumptions!$L$46)</f>
        <v>319414.85106933751</v>
      </c>
      <c r="AL173" s="148"/>
      <c r="AM173" s="3" t="s">
        <v>72</v>
      </c>
      <c r="AN173" s="15">
        <v>13148</v>
      </c>
      <c r="AO173" s="118"/>
      <c r="AP173" s="104"/>
      <c r="AQ173" s="114"/>
      <c r="AR173" s="116"/>
    </row>
    <row r="174" spans="1:44" x14ac:dyDescent="0.2">
      <c r="A174" s="3" t="s">
        <v>108</v>
      </c>
      <c r="B174" s="3">
        <f t="shared" si="30"/>
        <v>132</v>
      </c>
      <c r="C174" s="210">
        <v>50</v>
      </c>
      <c r="D174" s="256" t="s">
        <v>464</v>
      </c>
      <c r="F174" s="106" t="s">
        <v>6</v>
      </c>
      <c r="G174" s="5">
        <f>IF(F174="f",Assumptions!$E$39,Assumptions!$E$38)</f>
        <v>81.8</v>
      </c>
      <c r="H174" s="118">
        <v>14133</v>
      </c>
      <c r="J174" s="209">
        <v>35977</v>
      </c>
      <c r="K174" s="211"/>
      <c r="L174" s="212"/>
      <c r="M174" s="248">
        <v>2510.14</v>
      </c>
      <c r="N174" s="133"/>
      <c r="O174" s="139">
        <f t="shared" si="31"/>
        <v>30121.68</v>
      </c>
      <c r="P174" s="32">
        <v>38</v>
      </c>
      <c r="R174" s="205">
        <v>60</v>
      </c>
      <c r="V174" s="392">
        <f>((O174*(1-(1+Assumptions!$G$40)^(-1*(G174-Q174))))/Assumptions!$G$40)</f>
        <v>334394.83131810097</v>
      </c>
      <c r="W174" s="392">
        <f>((O174*(1-(1+Assumptions!$G$46)^(-1*(G174-Q174))))/Assumptions!$G$46)</f>
        <v>493018.33302373969</v>
      </c>
      <c r="X174" s="283">
        <f t="shared" si="28"/>
        <v>30121.68</v>
      </c>
      <c r="Y174" s="181">
        <f t="shared" si="28"/>
        <v>30121.68</v>
      </c>
      <c r="Z174" s="181">
        <f t="shared" si="28"/>
        <v>30121.68</v>
      </c>
      <c r="AA174" s="284">
        <f>((X174*(1-(1+Assumptions!$H$40)^(-1*(G174-Q174))))/Assumptions!$H$40)</f>
        <v>334394.83131810097</v>
      </c>
      <c r="AB174" s="284">
        <f>((Y174*(1-(1+Assumptions!$I$40)^(-1*(G174-Q174))))/Assumptions!$I$40)</f>
        <v>334394.83131810097</v>
      </c>
      <c r="AC174" s="285">
        <f>((Z174*(1-(1+Assumptions!$J$40)^(-1*(G174-Q174))))/Assumptions!$J$40)</f>
        <v>334394.83131810097</v>
      </c>
      <c r="AD174" s="148">
        <f>((X174*(1-(1+Assumptions!$H$46)^(-1*(G174-Q174))))/Assumptions!$H$46)</f>
        <v>493018.33302373969</v>
      </c>
      <c r="AE174" s="148">
        <f>((Y174*(1-(1+Assumptions!$I$46)^(-1*(G174-Q174))))/Assumptions!$I$46)</f>
        <v>493018.33302373969</v>
      </c>
      <c r="AF174" s="148">
        <f>((Z174*(1-(1+Assumptions!$J$46)^(-1*(G174-Q174))))/Assumptions!$J$46)</f>
        <v>493018.33302373969</v>
      </c>
      <c r="AG174" s="145">
        <v>37134</v>
      </c>
      <c r="AH174" s="148">
        <f>((AI174*(1-(1+Assumptions!$M$40)^(-1*(G174-Q174))))/Assumptions!$M$40)</f>
        <v>540804.67857276858</v>
      </c>
      <c r="AI174" s="419">
        <f t="shared" si="29"/>
        <v>30121.68</v>
      </c>
      <c r="AJ174" s="148">
        <f>((AI174*(1-(1+Assumptions!$L$40)^(-1*(G174-Q174))))/Assumptions!$L$40)</f>
        <v>334394.83131810097</v>
      </c>
      <c r="AK174" s="148">
        <f>((AI174*(1-(1+Assumptions!$L$46)^(-1*(G174-Q174))))/Assumptions!$L$46)</f>
        <v>493018.33302373969</v>
      </c>
      <c r="AL174" s="148"/>
      <c r="AM174" s="3" t="s">
        <v>65</v>
      </c>
      <c r="AN174" s="16"/>
      <c r="AO174" s="118"/>
      <c r="AP174" s="104"/>
      <c r="AQ174" s="114"/>
      <c r="AR174" s="116"/>
    </row>
    <row r="175" spans="1:44" x14ac:dyDescent="0.2">
      <c r="A175" s="3" t="s">
        <v>108</v>
      </c>
      <c r="B175" s="3">
        <f t="shared" si="30"/>
        <v>133</v>
      </c>
      <c r="C175" s="213">
        <v>50</v>
      </c>
      <c r="D175" s="256" t="s">
        <v>465</v>
      </c>
      <c r="E175" s="260"/>
      <c r="F175" s="105" t="s">
        <v>6</v>
      </c>
      <c r="G175" s="5">
        <f>IF(F175="f",Assumptions!$E$39,Assumptions!$E$38)</f>
        <v>81.8</v>
      </c>
      <c r="H175" s="119">
        <v>11236</v>
      </c>
      <c r="J175" s="214">
        <v>35765</v>
      </c>
      <c r="K175" s="215"/>
      <c r="L175" s="216"/>
      <c r="M175" s="249">
        <v>3398.64</v>
      </c>
      <c r="N175" s="134"/>
      <c r="O175" s="139">
        <f t="shared" si="31"/>
        <v>40783.68</v>
      </c>
      <c r="P175" s="32">
        <v>48</v>
      </c>
      <c r="R175" s="205">
        <v>67</v>
      </c>
      <c r="V175" s="392">
        <f>((O175*(1-(1+Assumptions!$G$40)^(-1*(G175-Q175))))/Assumptions!$G$40)</f>
        <v>452758.67063627951</v>
      </c>
      <c r="W175" s="392">
        <f>((O175*(1-(1+Assumptions!$G$46)^(-1*(G175-Q175))))/Assumptions!$G$46)</f>
        <v>667529.2323726177</v>
      </c>
      <c r="X175" s="283">
        <f t="shared" si="28"/>
        <v>40783.68</v>
      </c>
      <c r="Y175" s="181">
        <f t="shared" si="28"/>
        <v>40783.68</v>
      </c>
      <c r="Z175" s="181">
        <f t="shared" si="28"/>
        <v>40783.68</v>
      </c>
      <c r="AA175" s="284">
        <f>((X175*(1-(1+Assumptions!$H$40)^(-1*(G175-Q175))))/Assumptions!$H$40)</f>
        <v>452758.67063627951</v>
      </c>
      <c r="AB175" s="284">
        <f>((Y175*(1-(1+Assumptions!$I$40)^(-1*(G175-Q175))))/Assumptions!$I$40)</f>
        <v>452758.67063627951</v>
      </c>
      <c r="AC175" s="285">
        <f>((Z175*(1-(1+Assumptions!$J$40)^(-1*(G175-Q175))))/Assumptions!$J$40)</f>
        <v>452758.67063627951</v>
      </c>
      <c r="AD175" s="148">
        <f>((X175*(1-(1+Assumptions!$H$46)^(-1*(G175-Q175))))/Assumptions!$H$46)</f>
        <v>667529.2323726177</v>
      </c>
      <c r="AE175" s="148">
        <f>((Y175*(1-(1+Assumptions!$I$46)^(-1*(G175-Q175))))/Assumptions!$I$46)</f>
        <v>667529.2323726177</v>
      </c>
      <c r="AF175" s="148">
        <f>((Z175*(1-(1+Assumptions!$J$46)^(-1*(G175-Q175))))/Assumptions!$J$46)</f>
        <v>667529.2323726177</v>
      </c>
      <c r="AG175" s="145">
        <v>37134</v>
      </c>
      <c r="AH175" s="148">
        <f>((AI175*(1-(1+Assumptions!$M$40)^(-1*(G175-Q175))))/Assumptions!$M$40)</f>
        <v>732230.23926336959</v>
      </c>
      <c r="AI175" s="419">
        <f t="shared" si="29"/>
        <v>40783.68</v>
      </c>
      <c r="AJ175" s="148">
        <f>((AI175*(1-(1+Assumptions!$L$40)^(-1*(G175-Q175))))/Assumptions!$L$40)</f>
        <v>452758.67063627951</v>
      </c>
      <c r="AK175" s="148">
        <f>((AI175*(1-(1+Assumptions!$L$46)^(-1*(G175-Q175))))/Assumptions!$L$46)</f>
        <v>667529.2323726177</v>
      </c>
      <c r="AL175" s="148"/>
      <c r="AM175" s="204" t="s">
        <v>65</v>
      </c>
      <c r="AN175" s="2"/>
      <c r="AO175" s="119"/>
      <c r="AP175" s="104"/>
      <c r="AQ175" s="114"/>
      <c r="AR175" s="116"/>
    </row>
    <row r="176" spans="1:44" x14ac:dyDescent="0.2">
      <c r="A176" s="3" t="s">
        <v>108</v>
      </c>
      <c r="B176" s="3">
        <f t="shared" si="30"/>
        <v>134</v>
      </c>
      <c r="C176" s="213">
        <v>50</v>
      </c>
      <c r="D176" s="256" t="s">
        <v>466</v>
      </c>
      <c r="E176" s="260"/>
      <c r="F176" s="105" t="s">
        <v>6</v>
      </c>
      <c r="G176" s="5">
        <f>IF(F176="f",Assumptions!$E$39,Assumptions!$E$38)</f>
        <v>81.8</v>
      </c>
      <c r="H176" s="119">
        <v>11514</v>
      </c>
      <c r="J176" s="214">
        <f>DATE(96,5,1)</f>
        <v>35186</v>
      </c>
      <c r="K176" s="215"/>
      <c r="L176" s="216"/>
      <c r="M176" s="249">
        <v>2053.5100000000002</v>
      </c>
      <c r="N176" s="134"/>
      <c r="O176" s="139">
        <f t="shared" si="31"/>
        <v>24642.120000000003</v>
      </c>
      <c r="P176" s="32" t="s">
        <v>70</v>
      </c>
      <c r="R176" s="205" t="s">
        <v>26</v>
      </c>
      <c r="V176" s="392">
        <f>((O176*(1-(1+Assumptions!$G$40)^(-1*(G176-Q176))))/Assumptions!$G$40)</f>
        <v>273563.67774707131</v>
      </c>
      <c r="W176" s="392">
        <f>((O176*(1-(1+Assumptions!$G$46)^(-1*(G176-Q176))))/Assumptions!$G$46)</f>
        <v>403331.31898921169</v>
      </c>
      <c r="X176" s="283">
        <f t="shared" si="28"/>
        <v>24642.120000000003</v>
      </c>
      <c r="Y176" s="181">
        <f t="shared" si="28"/>
        <v>24642.120000000003</v>
      </c>
      <c r="Z176" s="181">
        <f t="shared" si="28"/>
        <v>24642.120000000003</v>
      </c>
      <c r="AA176" s="284">
        <f>((X176*(1-(1+Assumptions!$H$40)^(-1*(G176-Q176))))/Assumptions!$H$40)</f>
        <v>273563.67774707131</v>
      </c>
      <c r="AB176" s="284">
        <f>((Y176*(1-(1+Assumptions!$I$40)^(-1*(G176-Q176))))/Assumptions!$I$40)</f>
        <v>273563.67774707131</v>
      </c>
      <c r="AC176" s="285">
        <f>((Z176*(1-(1+Assumptions!$J$40)^(-1*(G176-Q176))))/Assumptions!$J$40)</f>
        <v>273563.67774707131</v>
      </c>
      <c r="AD176" s="148">
        <f>((X176*(1-(1+Assumptions!$H$46)^(-1*(G176-Q176))))/Assumptions!$H$46)</f>
        <v>403331.31898921169</v>
      </c>
      <c r="AE176" s="148">
        <f>((Y176*(1-(1+Assumptions!$I$46)^(-1*(G176-Q176))))/Assumptions!$I$46)</f>
        <v>403331.31898921169</v>
      </c>
      <c r="AF176" s="148">
        <f>((Z176*(1-(1+Assumptions!$J$46)^(-1*(G176-Q176))))/Assumptions!$J$46)</f>
        <v>403331.31898921169</v>
      </c>
      <c r="AG176" s="145">
        <v>37134</v>
      </c>
      <c r="AH176" s="148">
        <f>((AI176*(1-(1+Assumptions!$M$40)^(-1*(G176-Q176))))/Assumptions!$M$40)</f>
        <v>442424.65181064245</v>
      </c>
      <c r="AI176" s="419">
        <f t="shared" si="29"/>
        <v>24642.120000000003</v>
      </c>
      <c r="AJ176" s="148">
        <f>((AI176*(1-(1+Assumptions!$L$40)^(-1*(G176-Q176))))/Assumptions!$L$40)</f>
        <v>273563.67774707131</v>
      </c>
      <c r="AK176" s="148">
        <f>((AI176*(1-(1+Assumptions!$L$46)^(-1*(G176-Q176))))/Assumptions!$L$46)</f>
        <v>403331.31898921169</v>
      </c>
      <c r="AL176" s="148"/>
      <c r="AM176" s="204" t="s">
        <v>67</v>
      </c>
      <c r="AN176" s="2">
        <f>DATE(21,4,23)</f>
        <v>7784</v>
      </c>
      <c r="AO176" s="119"/>
      <c r="AP176" s="104"/>
      <c r="AQ176" s="114"/>
      <c r="AR176" s="116"/>
    </row>
    <row r="177" spans="1:44" x14ac:dyDescent="0.2">
      <c r="A177" s="3" t="s">
        <v>108</v>
      </c>
      <c r="B177" s="3">
        <f t="shared" si="30"/>
        <v>135</v>
      </c>
      <c r="C177" s="213">
        <v>50</v>
      </c>
      <c r="D177" s="256" t="s">
        <v>467</v>
      </c>
      <c r="E177" s="260"/>
      <c r="F177" s="105" t="s">
        <v>6</v>
      </c>
      <c r="G177" s="5">
        <f>IF(F177="f",Assumptions!$E$39,Assumptions!$E$38)</f>
        <v>81.8</v>
      </c>
      <c r="H177" s="119">
        <v>11284</v>
      </c>
      <c r="J177" s="214">
        <f>DATE(95,9,1)</f>
        <v>34943</v>
      </c>
      <c r="K177" s="215"/>
      <c r="L177" s="216"/>
      <c r="M177" s="249">
        <v>2216.11</v>
      </c>
      <c r="N177" s="134"/>
      <c r="O177" s="139">
        <f t="shared" si="31"/>
        <v>26593.32</v>
      </c>
      <c r="P177" s="32" t="s">
        <v>53</v>
      </c>
      <c r="R177" s="205" t="s">
        <v>26</v>
      </c>
      <c r="V177" s="392">
        <f>((O177*(1-(1+Assumptions!$G$40)^(-1*(G177-Q177))))/Assumptions!$G$40)</f>
        <v>295224.85982150666</v>
      </c>
      <c r="W177" s="392">
        <f>((O177*(1-(1+Assumptions!$G$46)^(-1*(G177-Q177))))/Assumptions!$G$46)</f>
        <v>435267.69741816778</v>
      </c>
      <c r="X177" s="283">
        <f t="shared" si="28"/>
        <v>26593.32</v>
      </c>
      <c r="Y177" s="181">
        <f t="shared" si="28"/>
        <v>26593.32</v>
      </c>
      <c r="Z177" s="181">
        <f t="shared" si="28"/>
        <v>26593.32</v>
      </c>
      <c r="AA177" s="284">
        <f>((X177*(1-(1+Assumptions!$H$40)^(-1*(G177-Q177))))/Assumptions!$H$40)</f>
        <v>295224.85982150666</v>
      </c>
      <c r="AB177" s="284">
        <f>((Y177*(1-(1+Assumptions!$I$40)^(-1*(G177-Q177))))/Assumptions!$I$40)</f>
        <v>295224.85982150666</v>
      </c>
      <c r="AC177" s="285">
        <f>((Z177*(1-(1+Assumptions!$J$40)^(-1*(G177-Q177))))/Assumptions!$J$40)</f>
        <v>295224.85982150666</v>
      </c>
      <c r="AD177" s="148">
        <f>((X177*(1-(1+Assumptions!$H$46)^(-1*(G177-Q177))))/Assumptions!$H$46)</f>
        <v>435267.69741816778</v>
      </c>
      <c r="AE177" s="148">
        <f>((Y177*(1-(1+Assumptions!$I$46)^(-1*(G177-Q177))))/Assumptions!$I$46)</f>
        <v>435267.69741816778</v>
      </c>
      <c r="AF177" s="148">
        <f>((Z177*(1-(1+Assumptions!$J$46)^(-1*(G177-Q177))))/Assumptions!$J$46)</f>
        <v>435267.69741816778</v>
      </c>
      <c r="AG177" s="145">
        <v>37134</v>
      </c>
      <c r="AH177" s="148">
        <f>((AI177*(1-(1+Assumptions!$M$40)^(-1*(G177-Q177))))/Assumptions!$M$40)</f>
        <v>477456.4989330867</v>
      </c>
      <c r="AI177" s="419">
        <f t="shared" si="29"/>
        <v>26593.32</v>
      </c>
      <c r="AJ177" s="148">
        <f>((AI177*(1-(1+Assumptions!$L$40)^(-1*(G177-Q177))))/Assumptions!$L$40)</f>
        <v>295224.85982150666</v>
      </c>
      <c r="AK177" s="148">
        <f>((AI177*(1-(1+Assumptions!$L$46)^(-1*(G177-Q177))))/Assumptions!$L$46)</f>
        <v>435267.69741816778</v>
      </c>
      <c r="AL177" s="148"/>
      <c r="AM177" s="204" t="s">
        <v>67</v>
      </c>
      <c r="AN177" s="2">
        <f>DATE(27,6,17)</f>
        <v>10030</v>
      </c>
      <c r="AO177" s="119"/>
      <c r="AP177" s="104"/>
      <c r="AQ177" s="114"/>
      <c r="AR177" s="116"/>
    </row>
    <row r="178" spans="1:44" x14ac:dyDescent="0.2">
      <c r="A178" s="3" t="s">
        <v>108</v>
      </c>
      <c r="B178" s="3">
        <f t="shared" si="30"/>
        <v>136</v>
      </c>
      <c r="C178" s="213">
        <v>50</v>
      </c>
      <c r="D178" s="256" t="s">
        <v>468</v>
      </c>
      <c r="E178" s="260"/>
      <c r="F178" s="105" t="s">
        <v>5</v>
      </c>
      <c r="G178" s="5">
        <f>IF(F178="f",Assumptions!$E$39,Assumptions!$E$38)</f>
        <v>89.3</v>
      </c>
      <c r="H178" s="119">
        <v>7969</v>
      </c>
      <c r="J178" s="214">
        <f>DATE(95,9,1)</f>
        <v>34943</v>
      </c>
      <c r="K178" s="215"/>
      <c r="L178" s="216"/>
      <c r="M178" s="249">
        <v>2166.67</v>
      </c>
      <c r="N178" s="134"/>
      <c r="O178" s="139">
        <f t="shared" si="31"/>
        <v>26000.04</v>
      </c>
      <c r="P178" s="32" t="s">
        <v>66</v>
      </c>
      <c r="R178" s="205" t="s">
        <v>69</v>
      </c>
      <c r="V178" s="392">
        <f>((O178*(1-(1+Assumptions!$G$40)^(-1*(G178-Q178))))/Assumptions!$G$40)</f>
        <v>288757.94849815482</v>
      </c>
      <c r="W178" s="392">
        <f>((O178*(1-(1+Assumptions!$G$46)^(-1*(G178-Q178))))/Assumptions!$G$46)</f>
        <v>426801.01775105565</v>
      </c>
      <c r="X178" s="283">
        <f t="shared" si="28"/>
        <v>26000.04</v>
      </c>
      <c r="Y178" s="181">
        <f t="shared" si="28"/>
        <v>26000.04</v>
      </c>
      <c r="Z178" s="181">
        <f t="shared" si="28"/>
        <v>26000.04</v>
      </c>
      <c r="AA178" s="284">
        <f>((X178*(1-(1+Assumptions!$H$40)^(-1*(G178-Q178))))/Assumptions!$H$40)</f>
        <v>288757.94849815482</v>
      </c>
      <c r="AB178" s="284">
        <f>((Y178*(1-(1+Assumptions!$I$40)^(-1*(G178-Q178))))/Assumptions!$I$40)</f>
        <v>288757.94849815482</v>
      </c>
      <c r="AC178" s="285">
        <f>((Z178*(1-(1+Assumptions!$J$40)^(-1*(G178-Q178))))/Assumptions!$J$40)</f>
        <v>288757.94849815482</v>
      </c>
      <c r="AD178" s="148">
        <f>((X178*(1-(1+Assumptions!$H$46)^(-1*(G178-Q178))))/Assumptions!$H$46)</f>
        <v>426801.01775105565</v>
      </c>
      <c r="AE178" s="148">
        <f>((Y178*(1-(1+Assumptions!$I$46)^(-1*(G178-Q178))))/Assumptions!$I$46)</f>
        <v>426801.01775105565</v>
      </c>
      <c r="AF178" s="148">
        <f>((Z178*(1-(1+Assumptions!$J$46)^(-1*(G178-Q178))))/Assumptions!$J$46)</f>
        <v>426801.01775105565</v>
      </c>
      <c r="AG178" s="145">
        <v>37134</v>
      </c>
      <c r="AH178" s="148">
        <f>((AI178*(1-(1+Assumptions!$M$40)^(-1*(G178-Q178))))/Assumptions!$M$40)</f>
        <v>468763.69845858391</v>
      </c>
      <c r="AI178" s="419">
        <f t="shared" si="29"/>
        <v>26000.04</v>
      </c>
      <c r="AJ178" s="148">
        <f>((AI178*(1-(1+Assumptions!$L$40)^(-1*(G178-Q178))))/Assumptions!$L$40)</f>
        <v>288757.94849815482</v>
      </c>
      <c r="AK178" s="148">
        <f>((AI178*(1-(1+Assumptions!$L$46)^(-1*(G178-Q178))))/Assumptions!$L$46)</f>
        <v>426801.01775105565</v>
      </c>
      <c r="AL178" s="148"/>
      <c r="AM178" s="204" t="s">
        <v>68</v>
      </c>
      <c r="AN178" s="2">
        <f>DATE(21,7,27)</f>
        <v>7879</v>
      </c>
      <c r="AO178" s="119"/>
      <c r="AP178" s="104"/>
      <c r="AQ178" s="114"/>
      <c r="AR178" s="116"/>
    </row>
    <row r="179" spans="1:44" x14ac:dyDescent="0.2">
      <c r="A179" s="3" t="s">
        <v>108</v>
      </c>
      <c r="B179" s="3">
        <f t="shared" si="30"/>
        <v>137</v>
      </c>
      <c r="C179" s="213">
        <v>50</v>
      </c>
      <c r="D179" s="256" t="s">
        <v>469</v>
      </c>
      <c r="E179" s="260"/>
      <c r="F179" s="105" t="s">
        <v>5</v>
      </c>
      <c r="G179" s="5">
        <f>IF(F179="f",Assumptions!$E$39,Assumptions!$E$38)</f>
        <v>89.3</v>
      </c>
      <c r="H179" s="119">
        <v>9110</v>
      </c>
      <c r="J179" s="214">
        <f>DATE(95,6,1)</f>
        <v>34851</v>
      </c>
      <c r="K179" s="215"/>
      <c r="L179" s="216"/>
      <c r="M179" s="249">
        <v>2792.05</v>
      </c>
      <c r="N179" s="134"/>
      <c r="O179" s="139">
        <f t="shared" si="31"/>
        <v>33504.600000000006</v>
      </c>
      <c r="P179" s="32" t="s">
        <v>66</v>
      </c>
      <c r="R179" s="205" t="s">
        <v>57</v>
      </c>
      <c r="V179" s="392">
        <f>((O179*(1-(1+Assumptions!$G$40)^(-1*(G179-Q179))))/Assumptions!$G$40)</f>
        <v>372104.02604193223</v>
      </c>
      <c r="W179" s="392">
        <f>((O179*(1-(1+Assumptions!$G$46)^(-1*(G179-Q179))))/Assumptions!$G$46)</f>
        <v>549991.36075721495</v>
      </c>
      <c r="X179" s="283">
        <f t="shared" si="28"/>
        <v>33504.600000000006</v>
      </c>
      <c r="Y179" s="181">
        <f t="shared" si="28"/>
        <v>33504.600000000006</v>
      </c>
      <c r="Z179" s="181">
        <f t="shared" si="28"/>
        <v>33504.600000000006</v>
      </c>
      <c r="AA179" s="284">
        <f>((X179*(1-(1+Assumptions!$H$40)^(-1*(G179-Q179))))/Assumptions!$H$40)</f>
        <v>372104.02604193223</v>
      </c>
      <c r="AB179" s="284">
        <f>((Y179*(1-(1+Assumptions!$I$40)^(-1*(G179-Q179))))/Assumptions!$I$40)</f>
        <v>372104.02604193223</v>
      </c>
      <c r="AC179" s="285">
        <f>((Z179*(1-(1+Assumptions!$J$40)^(-1*(G179-Q179))))/Assumptions!$J$40)</f>
        <v>372104.02604193223</v>
      </c>
      <c r="AD179" s="148">
        <f>((X179*(1-(1+Assumptions!$H$46)^(-1*(G179-Q179))))/Assumptions!$H$46)</f>
        <v>549991.36075721495</v>
      </c>
      <c r="AE179" s="148">
        <f>((Y179*(1-(1+Assumptions!$I$46)^(-1*(G179-Q179))))/Assumptions!$I$46)</f>
        <v>549991.36075721495</v>
      </c>
      <c r="AF179" s="148">
        <f>((Z179*(1-(1+Assumptions!$J$46)^(-1*(G179-Q179))))/Assumptions!$J$46)</f>
        <v>549991.36075721495</v>
      </c>
      <c r="AG179" s="145">
        <v>37134</v>
      </c>
      <c r="AH179" s="148">
        <f>((AI179*(1-(1+Assumptions!$M$40)^(-1*(G179-Q179))))/Assumptions!$M$40)</f>
        <v>604066.00187443837</v>
      </c>
      <c r="AI179" s="419">
        <f t="shared" si="29"/>
        <v>33504.600000000006</v>
      </c>
      <c r="AJ179" s="148">
        <f>((AI179*(1-(1+Assumptions!$L$40)^(-1*(G179-Q179))))/Assumptions!$L$40)</f>
        <v>372104.02604193223</v>
      </c>
      <c r="AK179" s="148">
        <f>((AI179*(1-(1+Assumptions!$L$46)^(-1*(G179-Q179))))/Assumptions!$L$46)</f>
        <v>549991.36075721495</v>
      </c>
      <c r="AL179" s="148"/>
      <c r="AM179" s="204" t="s">
        <v>65</v>
      </c>
      <c r="AN179" s="17" t="s">
        <v>64</v>
      </c>
      <c r="AO179" s="119"/>
      <c r="AP179" s="104"/>
      <c r="AQ179" s="114"/>
      <c r="AR179" s="116"/>
    </row>
    <row r="180" spans="1:44" x14ac:dyDescent="0.2">
      <c r="A180" s="3" t="s">
        <v>108</v>
      </c>
      <c r="B180" s="3">
        <f t="shared" si="30"/>
        <v>138</v>
      </c>
      <c r="C180" s="213">
        <v>25</v>
      </c>
      <c r="D180" s="256" t="s">
        <v>470</v>
      </c>
      <c r="E180" s="260"/>
      <c r="F180" s="105" t="s">
        <v>6</v>
      </c>
      <c r="G180" s="5">
        <f>IF(F180="f",Assumptions!$E$39,Assumptions!$E$38)</f>
        <v>81.8</v>
      </c>
      <c r="H180" s="119">
        <v>7083</v>
      </c>
      <c r="J180" s="214">
        <f>DATE(94,9,1)</f>
        <v>34578</v>
      </c>
      <c r="K180" s="215"/>
      <c r="L180" s="216"/>
      <c r="M180" s="249">
        <v>936.88</v>
      </c>
      <c r="N180" s="134"/>
      <c r="O180" s="139">
        <f t="shared" si="31"/>
        <v>11242.56</v>
      </c>
      <c r="P180" s="32" t="s">
        <v>48</v>
      </c>
      <c r="R180" s="205" t="s">
        <v>63</v>
      </c>
      <c r="V180" s="392">
        <f>((O180*(1-(1+Assumptions!$G$40)^(-1*(G180-Q180))))/Assumptions!$G$40)</f>
        <v>124808.90689973565</v>
      </c>
      <c r="W180" s="392">
        <f>((O180*(1-(1+Assumptions!$G$46)^(-1*(G180-Q180))))/Assumptions!$G$46)</f>
        <v>184013.2486009869</v>
      </c>
      <c r="X180" s="283">
        <f t="shared" si="28"/>
        <v>11242.56</v>
      </c>
      <c r="Y180" s="181">
        <f t="shared" si="28"/>
        <v>11242.56</v>
      </c>
      <c r="Z180" s="181">
        <f t="shared" si="28"/>
        <v>11242.56</v>
      </c>
      <c r="AA180" s="284">
        <f>((X180*(1-(1+Assumptions!$H$40)^(-1*(G180-Q180))))/Assumptions!$H$40)</f>
        <v>124808.90689973565</v>
      </c>
      <c r="AB180" s="284">
        <f>((Y180*(1-(1+Assumptions!$I$40)^(-1*(G180-Q180))))/Assumptions!$I$40)</f>
        <v>124808.90689973565</v>
      </c>
      <c r="AC180" s="285">
        <f>((Z180*(1-(1+Assumptions!$J$40)^(-1*(G180-Q180))))/Assumptions!$J$40)</f>
        <v>124808.90689973565</v>
      </c>
      <c r="AD180" s="148">
        <f>((X180*(1-(1+Assumptions!$H$46)^(-1*(G180-Q180))))/Assumptions!$H$46)</f>
        <v>184013.2486009869</v>
      </c>
      <c r="AE180" s="148">
        <f>((Y180*(1-(1+Assumptions!$I$46)^(-1*(G180-Q180))))/Assumptions!$I$46)</f>
        <v>184013.2486009869</v>
      </c>
      <c r="AF180" s="148">
        <f>((Z180*(1-(1+Assumptions!$J$46)^(-1*(G180-Q180))))/Assumptions!$J$46)</f>
        <v>184013.2486009869</v>
      </c>
      <c r="AG180" s="145">
        <v>37134</v>
      </c>
      <c r="AH180" s="148">
        <f>((AI180*(1-(1+Assumptions!$M$40)^(-1*(G180-Q180))))/Assumptions!$M$40)</f>
        <v>201848.93562162085</v>
      </c>
      <c r="AI180" s="419">
        <f t="shared" si="29"/>
        <v>11242.56</v>
      </c>
      <c r="AJ180" s="148">
        <f>((AI180*(1-(1+Assumptions!$L$40)^(-1*(G180-Q180))))/Assumptions!$L$40)</f>
        <v>124808.90689973565</v>
      </c>
      <c r="AK180" s="148">
        <f>((AI180*(1-(1+Assumptions!$L$46)^(-1*(G180-Q180))))/Assumptions!$L$46)</f>
        <v>184013.2486009869</v>
      </c>
      <c r="AL180" s="148"/>
      <c r="AM180" s="204" t="s">
        <v>62</v>
      </c>
      <c r="AN180" s="2">
        <f>DATE(51,3,15)</f>
        <v>18702</v>
      </c>
      <c r="AO180" s="119"/>
      <c r="AP180" s="104"/>
      <c r="AQ180" s="114"/>
      <c r="AR180" s="116"/>
    </row>
    <row r="181" spans="1:44" x14ac:dyDescent="0.2">
      <c r="A181" s="3" t="s">
        <v>108</v>
      </c>
      <c r="B181" s="3">
        <f t="shared" si="30"/>
        <v>139</v>
      </c>
      <c r="C181" s="213">
        <v>25</v>
      </c>
      <c r="D181" s="256" t="s">
        <v>471</v>
      </c>
      <c r="E181" s="260"/>
      <c r="F181" s="105" t="s">
        <v>6</v>
      </c>
      <c r="G181" s="5">
        <f>IF(F181="f",Assumptions!$E$39,Assumptions!$E$38)</f>
        <v>81.8</v>
      </c>
      <c r="H181" s="119">
        <v>8819</v>
      </c>
      <c r="J181" s="214">
        <f>DATE(94,1,1)</f>
        <v>34335</v>
      </c>
      <c r="K181" s="215"/>
      <c r="L181" s="216"/>
      <c r="M181" s="249">
        <v>2049.0100000000002</v>
      </c>
      <c r="N181" s="134"/>
      <c r="O181" s="139">
        <f t="shared" si="31"/>
        <v>24588.120000000003</v>
      </c>
      <c r="P181" s="32" t="s">
        <v>44</v>
      </c>
      <c r="R181" s="205" t="s">
        <v>57</v>
      </c>
      <c r="V181" s="392">
        <f>((O181*(1-(1+Assumptions!$G$40)^(-1*(G181-Q181))))/Assumptions!$G$40)</f>
        <v>272964.19853836927</v>
      </c>
      <c r="W181" s="392">
        <f>((O181*(1-(1+Assumptions!$G$46)^(-1*(G181-Q181))))/Assumptions!$G$46)</f>
        <v>402447.47087770922</v>
      </c>
      <c r="X181" s="283">
        <f t="shared" si="28"/>
        <v>24588.120000000003</v>
      </c>
      <c r="Y181" s="181">
        <f t="shared" si="28"/>
        <v>24588.120000000003</v>
      </c>
      <c r="Z181" s="181">
        <f t="shared" si="28"/>
        <v>24588.120000000003</v>
      </c>
      <c r="AA181" s="284">
        <f>((X181*(1-(1+Assumptions!$H$40)^(-1*(G181-Q181))))/Assumptions!$H$40)</f>
        <v>272964.19853836927</v>
      </c>
      <c r="AB181" s="284">
        <f>((Y181*(1-(1+Assumptions!$I$40)^(-1*(G181-Q181))))/Assumptions!$I$40)</f>
        <v>272964.19853836927</v>
      </c>
      <c r="AC181" s="285">
        <f>((Z181*(1-(1+Assumptions!$J$40)^(-1*(G181-Q181))))/Assumptions!$J$40)</f>
        <v>272964.19853836927</v>
      </c>
      <c r="AD181" s="148">
        <f>((X181*(1-(1+Assumptions!$H$46)^(-1*(G181-Q181))))/Assumptions!$H$46)</f>
        <v>402447.47087770922</v>
      </c>
      <c r="AE181" s="148">
        <f>((Y181*(1-(1+Assumptions!$I$46)^(-1*(G181-Q181))))/Assumptions!$I$46)</f>
        <v>402447.47087770922</v>
      </c>
      <c r="AF181" s="148">
        <f>((Z181*(1-(1+Assumptions!$J$46)^(-1*(G181-Q181))))/Assumptions!$J$46)</f>
        <v>402447.47087770922</v>
      </c>
      <c r="AG181" s="145">
        <v>37134</v>
      </c>
      <c r="AH181" s="148">
        <f>((AI181*(1-(1+Assumptions!$M$40)^(-1*(G181-Q181))))/Assumptions!$M$40)</f>
        <v>441455.13574636821</v>
      </c>
      <c r="AI181" s="419">
        <f t="shared" si="29"/>
        <v>24588.120000000003</v>
      </c>
      <c r="AJ181" s="148">
        <f>((AI181*(1-(1+Assumptions!$L$40)^(-1*(G181-Q181))))/Assumptions!$L$40)</f>
        <v>272964.19853836927</v>
      </c>
      <c r="AK181" s="148">
        <f>((AI181*(1-(1+Assumptions!$L$46)^(-1*(G181-Q181))))/Assumptions!$L$46)</f>
        <v>402447.47087770922</v>
      </c>
      <c r="AL181" s="148"/>
      <c r="AM181" s="204" t="s">
        <v>61</v>
      </c>
      <c r="AN181" s="2">
        <f>DATE(22,1,6)</f>
        <v>8042</v>
      </c>
      <c r="AO181" s="119"/>
      <c r="AP181" s="104"/>
      <c r="AQ181" s="114"/>
      <c r="AR181" s="116"/>
    </row>
    <row r="182" spans="1:44" x14ac:dyDescent="0.2">
      <c r="A182" s="3" t="s">
        <v>108</v>
      </c>
      <c r="B182" s="3">
        <f t="shared" si="30"/>
        <v>140</v>
      </c>
      <c r="C182" s="213">
        <v>50</v>
      </c>
      <c r="D182" s="256" t="s">
        <v>472</v>
      </c>
      <c r="E182" s="260"/>
      <c r="F182" s="105" t="s">
        <v>5</v>
      </c>
      <c r="G182" s="5">
        <f>IF(F182="f",Assumptions!$E$39,Assumptions!$E$38)</f>
        <v>89.3</v>
      </c>
      <c r="H182" s="119">
        <v>8065</v>
      </c>
      <c r="J182" s="214">
        <v>34060</v>
      </c>
      <c r="K182" s="215"/>
      <c r="L182" s="216"/>
      <c r="M182" s="249">
        <v>2166.67</v>
      </c>
      <c r="N182" s="134"/>
      <c r="O182" s="139">
        <f t="shared" si="31"/>
        <v>26000.04</v>
      </c>
      <c r="P182" s="32">
        <v>31.5</v>
      </c>
      <c r="R182" s="205">
        <v>71</v>
      </c>
      <c r="V182" s="392">
        <f>((O182*(1-(1+Assumptions!$G$40)^(-1*(G182-Q182))))/Assumptions!$G$40)</f>
        <v>288757.94849815482</v>
      </c>
      <c r="W182" s="392">
        <f>((O182*(1-(1+Assumptions!$G$46)^(-1*(G182-Q182))))/Assumptions!$G$46)</f>
        <v>426801.01775105565</v>
      </c>
      <c r="X182" s="283">
        <f t="shared" si="28"/>
        <v>26000.04</v>
      </c>
      <c r="Y182" s="181">
        <f t="shared" si="28"/>
        <v>26000.04</v>
      </c>
      <c r="Z182" s="181">
        <f t="shared" si="28"/>
        <v>26000.04</v>
      </c>
      <c r="AA182" s="284">
        <f>((X182*(1-(1+Assumptions!$H$40)^(-1*(G182-Q182))))/Assumptions!$H$40)</f>
        <v>288757.94849815482</v>
      </c>
      <c r="AB182" s="284">
        <f>((Y182*(1-(1+Assumptions!$I$40)^(-1*(G182-Q182))))/Assumptions!$I$40)</f>
        <v>288757.94849815482</v>
      </c>
      <c r="AC182" s="285">
        <f>((Z182*(1-(1+Assumptions!$J$40)^(-1*(G182-Q182))))/Assumptions!$J$40)</f>
        <v>288757.94849815482</v>
      </c>
      <c r="AD182" s="148">
        <f>((X182*(1-(1+Assumptions!$H$46)^(-1*(G182-Q182))))/Assumptions!$H$46)</f>
        <v>426801.01775105565</v>
      </c>
      <c r="AE182" s="148">
        <f>((Y182*(1-(1+Assumptions!$I$46)^(-1*(G182-Q182))))/Assumptions!$I$46)</f>
        <v>426801.01775105565</v>
      </c>
      <c r="AF182" s="148">
        <f>((Z182*(1-(1+Assumptions!$J$46)^(-1*(G182-Q182))))/Assumptions!$J$46)</f>
        <v>426801.01775105565</v>
      </c>
      <c r="AG182" s="145">
        <v>37134</v>
      </c>
      <c r="AH182" s="148">
        <f>((AI182*(1-(1+Assumptions!$M$40)^(-1*(G182-Q182))))/Assumptions!$M$40)</f>
        <v>468763.69845858391</v>
      </c>
      <c r="AI182" s="419">
        <f t="shared" si="29"/>
        <v>26000.04</v>
      </c>
      <c r="AJ182" s="148">
        <f>((AI182*(1-(1+Assumptions!$L$40)^(-1*(G182-Q182))))/Assumptions!$L$40)</f>
        <v>288757.94849815482</v>
      </c>
      <c r="AK182" s="148">
        <f>((AI182*(1-(1+Assumptions!$L$46)^(-1*(G182-Q182))))/Assumptions!$L$46)</f>
        <v>426801.01775105565</v>
      </c>
      <c r="AL182" s="148"/>
      <c r="AM182" s="204" t="s">
        <v>71</v>
      </c>
      <c r="AN182" s="18"/>
      <c r="AO182" s="119"/>
      <c r="AP182" s="104"/>
      <c r="AQ182" s="114"/>
      <c r="AR182" s="116"/>
    </row>
    <row r="183" spans="1:44" x14ac:dyDescent="0.2">
      <c r="A183" s="3" t="s">
        <v>108</v>
      </c>
      <c r="B183" s="3">
        <f t="shared" si="30"/>
        <v>141</v>
      </c>
      <c r="C183" s="213"/>
      <c r="D183" s="256" t="s">
        <v>473</v>
      </c>
      <c r="E183" s="260"/>
      <c r="F183" s="105" t="s">
        <v>6</v>
      </c>
      <c r="G183" s="5">
        <f>IF(F183="f",Assumptions!$E$39,Assumptions!$E$38)</f>
        <v>81.8</v>
      </c>
      <c r="H183" s="119">
        <v>9982</v>
      </c>
      <c r="J183" s="214">
        <f>DATE(92,9,1)</f>
        <v>33848</v>
      </c>
      <c r="K183" s="215"/>
      <c r="L183" s="216"/>
      <c r="M183" s="249">
        <v>1467.09</v>
      </c>
      <c r="N183" s="134"/>
      <c r="O183" s="139">
        <f t="shared" si="31"/>
        <v>17605.079999999998</v>
      </c>
      <c r="P183" s="32" t="s">
        <v>60</v>
      </c>
      <c r="R183" s="205" t="s">
        <v>26</v>
      </c>
      <c r="V183" s="392">
        <f>((O183*(1-(1+Assumptions!$G$40)^(-1*(G183-Q183))))/Assumptions!$G$40)</f>
        <v>195442.21162105407</v>
      </c>
      <c r="W183" s="392">
        <f>((O183*(1-(1+Assumptions!$G$46)^(-1*(G183-Q183))))/Assumptions!$G$46)</f>
        <v>288152.16131203767</v>
      </c>
      <c r="X183" s="283">
        <f t="shared" si="28"/>
        <v>17605.079999999998</v>
      </c>
      <c r="Y183" s="181">
        <f t="shared" si="28"/>
        <v>17605.079999999998</v>
      </c>
      <c r="Z183" s="181">
        <f t="shared" si="28"/>
        <v>17605.079999999998</v>
      </c>
      <c r="AA183" s="284">
        <f>((X183*(1-(1+Assumptions!$H$40)^(-1*(G183-Q183))))/Assumptions!$H$40)</f>
        <v>195442.21162105407</v>
      </c>
      <c r="AB183" s="284">
        <f>((Y183*(1-(1+Assumptions!$I$40)^(-1*(G183-Q183))))/Assumptions!$I$40)</f>
        <v>195442.21162105407</v>
      </c>
      <c r="AC183" s="285">
        <f>((Z183*(1-(1+Assumptions!$J$40)^(-1*(G183-Q183))))/Assumptions!$J$40)</f>
        <v>195442.21162105407</v>
      </c>
      <c r="AD183" s="148">
        <f>((X183*(1-(1+Assumptions!$H$46)^(-1*(G183-Q183))))/Assumptions!$H$46)</f>
        <v>288152.16131203767</v>
      </c>
      <c r="AE183" s="148">
        <f>((Y183*(1-(1+Assumptions!$I$46)^(-1*(G183-Q183))))/Assumptions!$I$46)</f>
        <v>288152.16131203767</v>
      </c>
      <c r="AF183" s="148">
        <f>((Z183*(1-(1+Assumptions!$J$46)^(-1*(G183-Q183))))/Assumptions!$J$46)</f>
        <v>288152.16131203767</v>
      </c>
      <c r="AG183" s="145">
        <v>37134</v>
      </c>
      <c r="AH183" s="148">
        <f>((AI183*(1-(1+Assumptions!$M$40)^(-1*(G183-Q183))))/Assumptions!$M$40)</f>
        <v>316081.627274703</v>
      </c>
      <c r="AI183" s="419">
        <f t="shared" si="29"/>
        <v>17605.079999999998</v>
      </c>
      <c r="AJ183" s="148">
        <f>((AI183*(1-(1+Assumptions!$L$40)^(-1*(G183-Q183))))/Assumptions!$L$40)</f>
        <v>195442.21162105407</v>
      </c>
      <c r="AK183" s="148">
        <f>((AI183*(1-(1+Assumptions!$L$46)^(-1*(G183-Q183))))/Assumptions!$L$46)</f>
        <v>288152.16131203767</v>
      </c>
      <c r="AL183" s="148"/>
      <c r="AM183" s="204" t="s">
        <v>52</v>
      </c>
      <c r="AN183" s="2">
        <f>DATE(36,9,15)</f>
        <v>13408</v>
      </c>
      <c r="AO183" s="119"/>
      <c r="AP183" s="104"/>
      <c r="AQ183" s="114"/>
      <c r="AR183" s="116"/>
    </row>
    <row r="184" spans="1:44" x14ac:dyDescent="0.2">
      <c r="A184" s="3" t="s">
        <v>108</v>
      </c>
      <c r="B184" s="3">
        <f t="shared" si="30"/>
        <v>142</v>
      </c>
      <c r="C184" s="213">
        <v>25</v>
      </c>
      <c r="D184" s="256" t="s">
        <v>474</v>
      </c>
      <c r="E184" s="260"/>
      <c r="F184" s="105" t="s">
        <v>6</v>
      </c>
      <c r="G184" s="5">
        <f>IF(F184="f",Assumptions!$E$39,Assumptions!$E$38)</f>
        <v>81.8</v>
      </c>
      <c r="H184" s="119">
        <v>7716</v>
      </c>
      <c r="J184" s="214">
        <f>DATE(92,4,1)</f>
        <v>33695</v>
      </c>
      <c r="K184" s="215"/>
      <c r="L184" s="216"/>
      <c r="M184" s="249">
        <v>1843.98</v>
      </c>
      <c r="N184" s="134"/>
      <c r="O184" s="139">
        <f t="shared" si="31"/>
        <v>22127.760000000002</v>
      </c>
      <c r="P184" s="32" t="s">
        <v>59</v>
      </c>
      <c r="R184" s="205" t="s">
        <v>57</v>
      </c>
      <c r="V184" s="392">
        <f>((O184*(1-(1+Assumptions!$G$40)^(-1*(G184-Q184))))/Assumptions!$G$40)</f>
        <v>245650.59361388284</v>
      </c>
      <c r="W184" s="392">
        <f>((O184*(1-(1+Assumptions!$G$46)^(-1*(G184-Q184))))/Assumptions!$G$46)</f>
        <v>362177.38681074191</v>
      </c>
      <c r="X184" s="283">
        <f t="shared" si="28"/>
        <v>22127.760000000002</v>
      </c>
      <c r="Y184" s="181">
        <f t="shared" si="28"/>
        <v>22127.760000000002</v>
      </c>
      <c r="Z184" s="181">
        <f t="shared" si="28"/>
        <v>22127.760000000002</v>
      </c>
      <c r="AA184" s="284">
        <f>((X184*(1-(1+Assumptions!$H$40)^(-1*(G184-Q184))))/Assumptions!$H$40)</f>
        <v>245650.59361388284</v>
      </c>
      <c r="AB184" s="284">
        <f>((Y184*(1-(1+Assumptions!$I$40)^(-1*(G184-Q184))))/Assumptions!$I$40)</f>
        <v>245650.59361388284</v>
      </c>
      <c r="AC184" s="285">
        <f>((Z184*(1-(1+Assumptions!$J$40)^(-1*(G184-Q184))))/Assumptions!$J$40)</f>
        <v>245650.59361388284</v>
      </c>
      <c r="AD184" s="148">
        <f>((X184*(1-(1+Assumptions!$H$46)^(-1*(G184-Q184))))/Assumptions!$H$46)</f>
        <v>362177.38681074191</v>
      </c>
      <c r="AE184" s="148">
        <f>((Y184*(1-(1+Assumptions!$I$46)^(-1*(G184-Q184))))/Assumptions!$I$46)</f>
        <v>362177.38681074191</v>
      </c>
      <c r="AF184" s="148">
        <f>((Z184*(1-(1+Assumptions!$J$46)^(-1*(G184-Q184))))/Assumptions!$J$46)</f>
        <v>362177.38681074191</v>
      </c>
      <c r="AG184" s="145">
        <v>37134</v>
      </c>
      <c r="AH184" s="148">
        <f>((AI184*(1-(1+Assumptions!$M$40)^(-1*(G184-Q184))))/Assumptions!$M$40)</f>
        <v>397281.82937788888</v>
      </c>
      <c r="AI184" s="419">
        <f t="shared" si="29"/>
        <v>22127.760000000002</v>
      </c>
      <c r="AJ184" s="148">
        <f>((AI184*(1-(1+Assumptions!$L$40)^(-1*(G184-Q184))))/Assumptions!$L$40)</f>
        <v>245650.59361388284</v>
      </c>
      <c r="AK184" s="148">
        <f>((AI184*(1-(1+Assumptions!$L$46)^(-1*(G184-Q184))))/Assumptions!$L$46)</f>
        <v>362177.38681074191</v>
      </c>
      <c r="AL184" s="148"/>
      <c r="AM184" s="204" t="s">
        <v>58</v>
      </c>
      <c r="AN184" s="2">
        <f>DATE(27,1,2)</f>
        <v>9864</v>
      </c>
      <c r="AO184" s="119"/>
      <c r="AP184" s="104"/>
      <c r="AQ184" s="114"/>
      <c r="AR184" s="116"/>
    </row>
    <row r="185" spans="1:44" x14ac:dyDescent="0.2">
      <c r="A185" s="3" t="s">
        <v>108</v>
      </c>
      <c r="B185" s="3">
        <f t="shared" si="30"/>
        <v>143</v>
      </c>
      <c r="C185" s="213">
        <v>25</v>
      </c>
      <c r="D185" s="256" t="s">
        <v>475</v>
      </c>
      <c r="E185" s="260"/>
      <c r="F185" s="105" t="s">
        <v>6</v>
      </c>
      <c r="G185" s="5">
        <f>IF(F185="f",Assumptions!$E$39,Assumptions!$E$38)</f>
        <v>81.8</v>
      </c>
      <c r="H185" s="119">
        <v>7623</v>
      </c>
      <c r="J185" s="214">
        <f>DATE(90,9,1)</f>
        <v>33117</v>
      </c>
      <c r="K185" s="215"/>
      <c r="L185" s="216"/>
      <c r="M185" s="249">
        <v>1551.45</v>
      </c>
      <c r="N185" s="134"/>
      <c r="O185" s="139">
        <f t="shared" si="31"/>
        <v>18617.400000000001</v>
      </c>
      <c r="P185" s="32" t="s">
        <v>56</v>
      </c>
      <c r="R185" s="205" t="s">
        <v>57</v>
      </c>
      <c r="V185" s="392">
        <f>((O185*(1-(1+Assumptions!$G$40)^(-1*(G185-Q185))))/Assumptions!$G$40)</f>
        <v>206680.44852018924</v>
      </c>
      <c r="W185" s="392">
        <f>((O185*(1-(1+Assumptions!$G$46)^(-1*(G185-Q185))))/Assumptions!$G$46)</f>
        <v>304721.3672423375</v>
      </c>
      <c r="X185" s="283">
        <f t="shared" si="28"/>
        <v>18617.400000000001</v>
      </c>
      <c r="Y185" s="181">
        <f t="shared" si="28"/>
        <v>18617.400000000001</v>
      </c>
      <c r="Z185" s="181">
        <f t="shared" si="28"/>
        <v>18617.400000000001</v>
      </c>
      <c r="AA185" s="284">
        <f>((X185*(1-(1+Assumptions!$H$40)^(-1*(G185-Q185))))/Assumptions!$H$40)</f>
        <v>206680.44852018924</v>
      </c>
      <c r="AB185" s="284">
        <f>((Y185*(1-(1+Assumptions!$I$40)^(-1*(G185-Q185))))/Assumptions!$I$40)</f>
        <v>206680.44852018924</v>
      </c>
      <c r="AC185" s="285">
        <f>((Z185*(1-(1+Assumptions!$J$40)^(-1*(G185-Q185))))/Assumptions!$J$40)</f>
        <v>206680.44852018924</v>
      </c>
      <c r="AD185" s="148">
        <f>((X185*(1-(1+Assumptions!$H$46)^(-1*(G185-Q185))))/Assumptions!$H$46)</f>
        <v>304721.3672423375</v>
      </c>
      <c r="AE185" s="148">
        <f>((Y185*(1-(1+Assumptions!$I$46)^(-1*(G185-Q185))))/Assumptions!$I$46)</f>
        <v>304721.3672423375</v>
      </c>
      <c r="AF185" s="148">
        <f>((Z185*(1-(1+Assumptions!$J$46)^(-1*(G185-Q185))))/Assumptions!$J$46)</f>
        <v>304721.3672423375</v>
      </c>
      <c r="AG185" s="145">
        <v>37134</v>
      </c>
      <c r="AH185" s="148">
        <f>((AI185*(1-(1+Assumptions!$M$40)^(-1*(G185-Q185))))/Assumptions!$M$40)</f>
        <v>334256.82175963168</v>
      </c>
      <c r="AI185" s="419">
        <f t="shared" si="29"/>
        <v>18617.400000000001</v>
      </c>
      <c r="AJ185" s="148">
        <f>((AI185*(1-(1+Assumptions!$L$40)^(-1*(G185-Q185))))/Assumptions!$L$40)</f>
        <v>206680.44852018924</v>
      </c>
      <c r="AK185" s="148">
        <f>((AI185*(1-(1+Assumptions!$L$46)^(-1*(G185-Q185))))/Assumptions!$L$46)</f>
        <v>304721.3672423375</v>
      </c>
      <c r="AL185" s="148"/>
      <c r="AM185" s="204" t="s">
        <v>55</v>
      </c>
      <c r="AN185" s="2"/>
      <c r="AO185" s="119"/>
      <c r="AP185" s="104"/>
      <c r="AQ185" s="114"/>
      <c r="AR185" s="116"/>
    </row>
    <row r="186" spans="1:44" x14ac:dyDescent="0.2">
      <c r="A186" s="3" t="s">
        <v>108</v>
      </c>
      <c r="B186" s="3">
        <f t="shared" si="30"/>
        <v>144</v>
      </c>
      <c r="C186" s="213">
        <v>25</v>
      </c>
      <c r="D186" s="256" t="s">
        <v>476</v>
      </c>
      <c r="E186" s="260"/>
      <c r="F186" s="105" t="s">
        <v>6</v>
      </c>
      <c r="G186" s="5">
        <f>IF(F186="f",Assumptions!$E$39,Assumptions!$E$38)</f>
        <v>81.8</v>
      </c>
      <c r="H186" s="119">
        <v>9760</v>
      </c>
      <c r="J186" s="214">
        <f>DATE(88,9,1)</f>
        <v>32387</v>
      </c>
      <c r="K186" s="215"/>
      <c r="L186" s="216"/>
      <c r="M186" s="249">
        <v>1216.1300000000001</v>
      </c>
      <c r="N186" s="134"/>
      <c r="O186" s="139">
        <f t="shared" si="31"/>
        <v>14593.560000000001</v>
      </c>
      <c r="P186" s="32" t="s">
        <v>53</v>
      </c>
      <c r="R186" s="205" t="s">
        <v>54</v>
      </c>
      <c r="V186" s="392">
        <f>((O186*(1-(1+Assumptions!$G$40)^(-1*(G186-Q186))))/Assumptions!$G$40)</f>
        <v>162009.92223974844</v>
      </c>
      <c r="W186" s="392">
        <f>((O186*(1-(1+Assumptions!$G$46)^(-1*(G186-Q186))))/Assumptions!$G$46)</f>
        <v>238860.93418700178</v>
      </c>
      <c r="X186" s="283">
        <f t="shared" si="28"/>
        <v>14593.560000000001</v>
      </c>
      <c r="Y186" s="181">
        <f t="shared" si="28"/>
        <v>14593.560000000001</v>
      </c>
      <c r="Z186" s="181">
        <f t="shared" si="28"/>
        <v>14593.560000000001</v>
      </c>
      <c r="AA186" s="284">
        <f>((X186*(1-(1+Assumptions!$H$40)^(-1*(G186-Q186))))/Assumptions!$H$40)</f>
        <v>162009.92223974844</v>
      </c>
      <c r="AB186" s="284">
        <f>((Y186*(1-(1+Assumptions!$I$40)^(-1*(G186-Q186))))/Assumptions!$I$40)</f>
        <v>162009.92223974844</v>
      </c>
      <c r="AC186" s="285">
        <f>((Z186*(1-(1+Assumptions!$J$40)^(-1*(G186-Q186))))/Assumptions!$J$40)</f>
        <v>162009.92223974844</v>
      </c>
      <c r="AD186" s="148">
        <f>((X186*(1-(1+Assumptions!$H$46)^(-1*(G186-Q186))))/Assumptions!$H$46)</f>
        <v>238860.93418700178</v>
      </c>
      <c r="AE186" s="148">
        <f>((Y186*(1-(1+Assumptions!$I$46)^(-1*(G186-Q186))))/Assumptions!$I$46)</f>
        <v>238860.93418700178</v>
      </c>
      <c r="AF186" s="148">
        <f>((Z186*(1-(1+Assumptions!$J$46)^(-1*(G186-Q186))))/Assumptions!$J$46)</f>
        <v>238860.93418700178</v>
      </c>
      <c r="AG186" s="145">
        <v>37134</v>
      </c>
      <c r="AH186" s="148">
        <f>((AI186*(1-(1+Assumptions!$M$40)^(-1*(G186-Q186))))/Assumptions!$M$40)</f>
        <v>262012.79361019749</v>
      </c>
      <c r="AI186" s="419">
        <f t="shared" si="29"/>
        <v>14593.560000000001</v>
      </c>
      <c r="AJ186" s="148">
        <f>((AI186*(1-(1+Assumptions!$L$40)^(-1*(G186-Q186))))/Assumptions!$L$40)</f>
        <v>162009.92223974844</v>
      </c>
      <c r="AK186" s="148">
        <f>((AI186*(1-(1+Assumptions!$L$46)^(-1*(G186-Q186))))/Assumptions!$L$46)</f>
        <v>238860.93418700178</v>
      </c>
      <c r="AL186" s="148"/>
      <c r="AM186" s="204" t="s">
        <v>52</v>
      </c>
      <c r="AN186" s="2">
        <f>DATE(30,6,5)</f>
        <v>11114</v>
      </c>
      <c r="AO186" s="119"/>
      <c r="AP186" s="104"/>
      <c r="AQ186" s="114"/>
      <c r="AR186" s="116"/>
    </row>
    <row r="187" spans="1:44" x14ac:dyDescent="0.2">
      <c r="A187" s="3" t="s">
        <v>108</v>
      </c>
      <c r="B187" s="3">
        <f t="shared" si="30"/>
        <v>145</v>
      </c>
      <c r="C187" s="213">
        <v>14.1</v>
      </c>
      <c r="D187" s="256" t="s">
        <v>477</v>
      </c>
      <c r="E187" s="260"/>
      <c r="F187" s="105" t="s">
        <v>6</v>
      </c>
      <c r="G187" s="5">
        <f>IF(F187="f",Assumptions!$E$39,Assumptions!$E$38)</f>
        <v>81.8</v>
      </c>
      <c r="H187" s="119">
        <v>7751</v>
      </c>
      <c r="J187" s="214">
        <f>DATE(86,9,1)</f>
        <v>31656</v>
      </c>
      <c r="K187" s="215"/>
      <c r="L187" s="216"/>
      <c r="M187" s="249">
        <v>1260</v>
      </c>
      <c r="N187" s="134"/>
      <c r="O187" s="139">
        <f t="shared" si="31"/>
        <v>15120</v>
      </c>
      <c r="P187" s="32" t="s">
        <v>51</v>
      </c>
      <c r="R187" s="205" t="s">
        <v>26</v>
      </c>
      <c r="V187" s="392">
        <f>((O187*(1-(1+Assumptions!$G$40)^(-1*(G187-Q187))))/Assumptions!$G$40)</f>
        <v>167854.1784365841</v>
      </c>
      <c r="W187" s="392">
        <f>((O187*(1-(1+Assumptions!$G$46)^(-1*(G187-Q187))))/Assumptions!$G$46)</f>
        <v>247477.47122069367</v>
      </c>
      <c r="X187" s="283">
        <f t="shared" si="28"/>
        <v>15120</v>
      </c>
      <c r="Y187" s="181">
        <f t="shared" si="28"/>
        <v>15120</v>
      </c>
      <c r="Z187" s="181">
        <f t="shared" si="28"/>
        <v>15120</v>
      </c>
      <c r="AA187" s="284">
        <f>((X187*(1-(1+Assumptions!$H$40)^(-1*(G187-Q187))))/Assumptions!$H$40)</f>
        <v>167854.1784365841</v>
      </c>
      <c r="AB187" s="284">
        <f>((Y187*(1-(1+Assumptions!$I$40)^(-1*(G187-Q187))))/Assumptions!$I$40)</f>
        <v>167854.1784365841</v>
      </c>
      <c r="AC187" s="285">
        <f>((Z187*(1-(1+Assumptions!$J$40)^(-1*(G187-Q187))))/Assumptions!$J$40)</f>
        <v>167854.1784365841</v>
      </c>
      <c r="AD187" s="148">
        <f>((X187*(1-(1+Assumptions!$H$46)^(-1*(G187-Q187))))/Assumptions!$H$46)</f>
        <v>247477.47122069367</v>
      </c>
      <c r="AE187" s="148">
        <f>((Y187*(1-(1+Assumptions!$I$46)^(-1*(G187-Q187))))/Assumptions!$I$46)</f>
        <v>247477.47122069367</v>
      </c>
      <c r="AF187" s="148">
        <f>((Z187*(1-(1+Assumptions!$J$46)^(-1*(G187-Q187))))/Assumptions!$J$46)</f>
        <v>247477.47122069367</v>
      </c>
      <c r="AG187" s="145">
        <v>37134</v>
      </c>
      <c r="AH187" s="148">
        <f>((AI187*(1-(1+Assumptions!$M$40)^(-1*(G187-Q187))))/Assumptions!$M$40)</f>
        <v>271464.49799680035</v>
      </c>
      <c r="AI187" s="419">
        <f t="shared" si="29"/>
        <v>15120</v>
      </c>
      <c r="AJ187" s="148">
        <f>((AI187*(1-(1+Assumptions!$L$40)^(-1*(G187-Q187))))/Assumptions!$L$40)</f>
        <v>167854.1784365841</v>
      </c>
      <c r="AK187" s="148">
        <f>((AI187*(1-(1+Assumptions!$L$46)^(-1*(G187-Q187))))/Assumptions!$L$46)</f>
        <v>247477.47122069367</v>
      </c>
      <c r="AL187" s="148"/>
      <c r="AM187" s="204" t="s">
        <v>50</v>
      </c>
      <c r="AN187" s="2">
        <f>DATE(21,2,19)</f>
        <v>7721</v>
      </c>
      <c r="AO187" s="119"/>
      <c r="AP187" s="104"/>
      <c r="AQ187" s="114"/>
      <c r="AR187" s="116"/>
    </row>
    <row r="188" spans="1:44" x14ac:dyDescent="0.2">
      <c r="A188" s="3" t="s">
        <v>108</v>
      </c>
      <c r="B188" s="3">
        <f t="shared" si="30"/>
        <v>146</v>
      </c>
      <c r="C188" s="213"/>
      <c r="D188" s="256" t="s">
        <v>478</v>
      </c>
      <c r="E188" s="260"/>
      <c r="F188" s="105" t="s">
        <v>6</v>
      </c>
      <c r="G188" s="5">
        <f>IF(F188="f",Assumptions!$E$39,Assumptions!$E$38)</f>
        <v>81.8</v>
      </c>
      <c r="H188" s="119">
        <v>4740</v>
      </c>
      <c r="J188" s="214">
        <f>DATE(73,9,1)</f>
        <v>26908</v>
      </c>
      <c r="K188" s="215"/>
      <c r="L188" s="216"/>
      <c r="M188" s="249">
        <v>658</v>
      </c>
      <c r="N188" s="134"/>
      <c r="O188" s="139">
        <f t="shared" si="31"/>
        <v>7896</v>
      </c>
      <c r="P188" s="32" t="s">
        <v>48</v>
      </c>
      <c r="R188" s="205" t="s">
        <v>49</v>
      </c>
      <c r="V188" s="392">
        <f>((O188*(1-(1+Assumptions!$G$40)^(-1*(G188-Q188))))/Assumptions!$G$40)</f>
        <v>87657.182072438372</v>
      </c>
      <c r="W188" s="392">
        <f>((O188*(1-(1+Assumptions!$G$46)^(-1*(G188-Q188))))/Assumptions!$G$46)</f>
        <v>129238.2349708067</v>
      </c>
      <c r="X188" s="283">
        <f t="shared" si="28"/>
        <v>7896</v>
      </c>
      <c r="Y188" s="181">
        <f t="shared" si="28"/>
        <v>7896</v>
      </c>
      <c r="Z188" s="181">
        <f t="shared" si="28"/>
        <v>7896</v>
      </c>
      <c r="AA188" s="284">
        <f>((X188*(1-(1+Assumptions!$H$40)^(-1*(G188-Q188))))/Assumptions!$H$40)</f>
        <v>87657.182072438372</v>
      </c>
      <c r="AB188" s="284">
        <f>((Y188*(1-(1+Assumptions!$I$40)^(-1*(G188-Q188))))/Assumptions!$I$40)</f>
        <v>87657.182072438372</v>
      </c>
      <c r="AC188" s="285">
        <f>((Z188*(1-(1+Assumptions!$J$40)^(-1*(G188-Q188))))/Assumptions!$J$40)</f>
        <v>87657.182072438372</v>
      </c>
      <c r="AD188" s="148">
        <f>((X188*(1-(1+Assumptions!$H$46)^(-1*(G188-Q188))))/Assumptions!$H$46)</f>
        <v>129238.2349708067</v>
      </c>
      <c r="AE188" s="148">
        <f>((Y188*(1-(1+Assumptions!$I$46)^(-1*(G188-Q188))))/Assumptions!$I$46)</f>
        <v>129238.2349708067</v>
      </c>
      <c r="AF188" s="148">
        <f>((Z188*(1-(1+Assumptions!$J$46)^(-1*(G188-Q188))))/Assumptions!$J$46)</f>
        <v>129238.2349708067</v>
      </c>
      <c r="AG188" s="145">
        <v>37134</v>
      </c>
      <c r="AH188" s="148">
        <f>((AI188*(1-(1+Assumptions!$M$40)^(-1*(G188-Q188))))/Assumptions!$M$40)</f>
        <v>141764.79339832906</v>
      </c>
      <c r="AI188" s="419">
        <f t="shared" si="29"/>
        <v>7896</v>
      </c>
      <c r="AJ188" s="148">
        <f>((AI188*(1-(1+Assumptions!$L$40)^(-1*(G188-Q188))))/Assumptions!$L$40)</f>
        <v>87657.182072438372</v>
      </c>
      <c r="AK188" s="148">
        <f>((AI188*(1-(1+Assumptions!$L$46)^(-1*(G188-Q188))))/Assumptions!$L$46)</f>
        <v>129238.2349708067</v>
      </c>
      <c r="AL188" s="148"/>
      <c r="AM188" s="204" t="s">
        <v>27</v>
      </c>
      <c r="AN188" s="2"/>
      <c r="AO188" s="119"/>
      <c r="AP188" s="104"/>
      <c r="AQ188" s="114"/>
      <c r="AR188" s="116"/>
    </row>
    <row r="189" spans="1:44" x14ac:dyDescent="0.2">
      <c r="A189" s="3" t="s">
        <v>108</v>
      </c>
      <c r="B189" s="3">
        <f t="shared" si="30"/>
        <v>147</v>
      </c>
      <c r="C189" s="213"/>
      <c r="D189" s="256" t="s">
        <v>479</v>
      </c>
      <c r="E189" s="260"/>
      <c r="F189" s="105" t="s">
        <v>6</v>
      </c>
      <c r="G189" s="5">
        <f>IF(F189="f",Assumptions!$E$39,Assumptions!$E$38)</f>
        <v>81.8</v>
      </c>
      <c r="H189" s="119">
        <v>1916</v>
      </c>
      <c r="J189" s="214">
        <f>DATE(71,9,1)</f>
        <v>26177</v>
      </c>
      <c r="K189" s="215"/>
      <c r="L189" s="216"/>
      <c r="M189" s="249">
        <v>658</v>
      </c>
      <c r="N189" s="134"/>
      <c r="O189" s="139">
        <f t="shared" si="31"/>
        <v>7896</v>
      </c>
      <c r="P189" s="32" t="s">
        <v>47</v>
      </c>
      <c r="R189" s="205" t="s">
        <v>45</v>
      </c>
      <c r="V189" s="392">
        <f>((O189*(1-(1+Assumptions!$G$40)^(-1*(G189-Q189))))/Assumptions!$G$40)</f>
        <v>87657.182072438372</v>
      </c>
      <c r="W189" s="392">
        <f>((O189*(1-(1+Assumptions!$G$46)^(-1*(G189-Q189))))/Assumptions!$G$46)</f>
        <v>129238.2349708067</v>
      </c>
      <c r="X189" s="283">
        <f t="shared" si="28"/>
        <v>7896</v>
      </c>
      <c r="Y189" s="181">
        <f t="shared" si="28"/>
        <v>7896</v>
      </c>
      <c r="Z189" s="181">
        <f t="shared" si="28"/>
        <v>7896</v>
      </c>
      <c r="AA189" s="284">
        <f>((X189*(1-(1+Assumptions!$H$40)^(-1*(G189-Q189))))/Assumptions!$H$40)</f>
        <v>87657.182072438372</v>
      </c>
      <c r="AB189" s="284">
        <f>((Y189*(1-(1+Assumptions!$I$40)^(-1*(G189-Q189))))/Assumptions!$I$40)</f>
        <v>87657.182072438372</v>
      </c>
      <c r="AC189" s="285">
        <f>((Z189*(1-(1+Assumptions!$J$40)^(-1*(G189-Q189))))/Assumptions!$J$40)</f>
        <v>87657.182072438372</v>
      </c>
      <c r="AD189" s="148">
        <f>((X189*(1-(1+Assumptions!$H$46)^(-1*(G189-Q189))))/Assumptions!$H$46)</f>
        <v>129238.2349708067</v>
      </c>
      <c r="AE189" s="148">
        <f>((Y189*(1-(1+Assumptions!$I$46)^(-1*(G189-Q189))))/Assumptions!$I$46)</f>
        <v>129238.2349708067</v>
      </c>
      <c r="AF189" s="148">
        <f>((Z189*(1-(1+Assumptions!$J$46)^(-1*(G189-Q189))))/Assumptions!$J$46)</f>
        <v>129238.2349708067</v>
      </c>
      <c r="AG189" s="145">
        <v>37134</v>
      </c>
      <c r="AH189" s="148">
        <f>((AI189*(1-(1+Assumptions!$M$40)^(-1*(G189-Q189))))/Assumptions!$M$40)</f>
        <v>141764.79339832906</v>
      </c>
      <c r="AI189" s="419">
        <f t="shared" si="29"/>
        <v>7896</v>
      </c>
      <c r="AJ189" s="148">
        <f>((AI189*(1-(1+Assumptions!$L$40)^(-1*(G189-Q189))))/Assumptions!$L$40)</f>
        <v>87657.182072438372</v>
      </c>
      <c r="AK189" s="148">
        <f>((AI189*(1-(1+Assumptions!$L$46)^(-1*(G189-Q189))))/Assumptions!$L$46)</f>
        <v>129238.2349708067</v>
      </c>
      <c r="AL189" s="148"/>
      <c r="AM189" s="204" t="s">
        <v>46</v>
      </c>
      <c r="AN189" s="2">
        <f>DATE(15,6,15)</f>
        <v>5645</v>
      </c>
      <c r="AO189" s="119"/>
      <c r="AP189" s="104"/>
      <c r="AQ189" s="114"/>
      <c r="AR189" s="116"/>
    </row>
    <row r="190" spans="1:44" x14ac:dyDescent="0.2">
      <c r="C190" s="213"/>
      <c r="D190" s="261"/>
      <c r="E190" s="261"/>
      <c r="F190" s="105"/>
      <c r="G190" s="205"/>
      <c r="H190" s="111"/>
      <c r="J190" s="214"/>
      <c r="K190" s="214"/>
      <c r="L190" s="216"/>
      <c r="M190" s="249"/>
      <c r="N190" s="134"/>
      <c r="O190" s="140"/>
      <c r="P190" s="214"/>
      <c r="V190" s="277"/>
      <c r="W190" s="277"/>
      <c r="X190" s="295"/>
      <c r="Y190" s="293"/>
      <c r="Z190" s="293"/>
      <c r="AA190" s="293"/>
      <c r="AB190" s="293"/>
      <c r="AC190" s="294"/>
      <c r="AD190" s="284"/>
      <c r="AE190" s="284"/>
      <c r="AF190" s="284"/>
      <c r="AG190" s="145"/>
      <c r="AH190" s="88"/>
      <c r="AI190" s="420"/>
      <c r="AJ190" s="88"/>
      <c r="AK190" s="88"/>
      <c r="AL190" s="88"/>
      <c r="AM190" s="3"/>
      <c r="AN190" s="2"/>
      <c r="AO190" s="111"/>
      <c r="AP190" s="104"/>
      <c r="AQ190" s="114"/>
      <c r="AR190" s="116"/>
    </row>
    <row r="191" spans="1:44" x14ac:dyDescent="0.2">
      <c r="H191" s="105"/>
      <c r="M191" s="248" t="s">
        <v>38</v>
      </c>
      <c r="N191" s="133"/>
      <c r="O191" s="141"/>
      <c r="P191" s="205" t="s">
        <v>36</v>
      </c>
      <c r="R191" s="3" t="s">
        <v>78</v>
      </c>
      <c r="S191" s="205"/>
      <c r="V191" s="277"/>
      <c r="W191" s="277"/>
      <c r="X191" s="299"/>
      <c r="Y191" s="284"/>
      <c r="Z191" s="284"/>
      <c r="AA191" s="284"/>
      <c r="AB191" s="284"/>
      <c r="AC191" s="285"/>
      <c r="AD191" s="148"/>
      <c r="AE191" s="148"/>
      <c r="AF191" s="148"/>
      <c r="AG191" s="145"/>
      <c r="AH191" s="87"/>
      <c r="AI191" s="421"/>
      <c r="AJ191" s="87"/>
      <c r="AK191" s="87"/>
      <c r="AL191" s="87"/>
      <c r="AM191" s="205" t="s">
        <v>34</v>
      </c>
      <c r="AN191" s="18"/>
      <c r="AO191" s="105"/>
      <c r="AP191" s="104"/>
      <c r="AQ191" s="114"/>
      <c r="AR191" s="116"/>
    </row>
    <row r="192" spans="1:44" x14ac:dyDescent="0.2">
      <c r="D192" s="20" t="s">
        <v>23</v>
      </c>
      <c r="E192" s="262"/>
      <c r="F192" s="106" t="s">
        <v>84</v>
      </c>
      <c r="G192" s="185"/>
      <c r="H192" s="105"/>
      <c r="J192" s="205" t="s">
        <v>31</v>
      </c>
      <c r="K192" s="205"/>
      <c r="L192" s="206"/>
      <c r="M192" s="250" t="s">
        <v>32</v>
      </c>
      <c r="N192" s="135"/>
      <c r="O192" s="142"/>
      <c r="P192" s="205" t="s">
        <v>30</v>
      </c>
      <c r="R192" s="3" t="s">
        <v>79</v>
      </c>
      <c r="V192" s="277"/>
      <c r="W192" s="277"/>
      <c r="X192" s="290"/>
      <c r="Y192" s="281"/>
      <c r="Z192" s="281"/>
      <c r="AA192" s="281"/>
      <c r="AB192" s="281"/>
      <c r="AC192" s="282"/>
      <c r="AD192" s="284"/>
      <c r="AE192" s="284"/>
      <c r="AF192" s="284"/>
      <c r="AG192" s="145"/>
      <c r="AH192" s="89"/>
      <c r="AI192" s="422"/>
      <c r="AJ192" s="89"/>
      <c r="AK192" s="89"/>
      <c r="AL192" s="89"/>
      <c r="AM192" s="205" t="s">
        <v>7</v>
      </c>
      <c r="AN192" s="18"/>
      <c r="AO192" s="105"/>
      <c r="AP192" s="104"/>
      <c r="AQ192" s="114"/>
      <c r="AR192" s="116"/>
    </row>
    <row r="193" spans="1:44" x14ac:dyDescent="0.2">
      <c r="A193" s="3" t="s">
        <v>108</v>
      </c>
      <c r="B193" s="217">
        <f>B189+1</f>
        <v>148</v>
      </c>
      <c r="C193" s="204" t="s">
        <v>22</v>
      </c>
      <c r="D193" s="263" t="s">
        <v>480</v>
      </c>
      <c r="E193" s="260"/>
      <c r="F193" s="105" t="s">
        <v>5</v>
      </c>
      <c r="G193" s="5">
        <f>IF(F193="f",Assumptions!$E$39,Assumptions!$E$38)</f>
        <v>89.3</v>
      </c>
      <c r="H193" s="108">
        <v>43070</v>
      </c>
      <c r="J193" s="193">
        <v>32143</v>
      </c>
      <c r="K193" s="202"/>
      <c r="L193" s="203"/>
      <c r="M193" s="241">
        <v>204.17</v>
      </c>
      <c r="N193" s="126"/>
      <c r="O193" s="139">
        <f t="shared" ref="O193:O199" si="32">M193*12</f>
        <v>2450.04</v>
      </c>
      <c r="P193" s="35">
        <v>8.1666000000000007</v>
      </c>
      <c r="R193" s="3">
        <v>70</v>
      </c>
      <c r="V193" s="392">
        <f>((O193*(1-(1+Assumptions!$G$40)^(-1*(G193-Q193))))/Assumptions!$G$40)</f>
        <v>27210.285989499218</v>
      </c>
      <c r="W193" s="392">
        <f>((O193*(1-(1+Assumptions!$G$46)^(-1*(G193-Q193))))/Assumptions!$G$46)</f>
        <v>40218.382953672241</v>
      </c>
      <c r="X193" s="283">
        <f t="shared" ref="X193:Z199" si="33">$M193*12</f>
        <v>2450.04</v>
      </c>
      <c r="Y193" s="181">
        <f t="shared" si="33"/>
        <v>2450.04</v>
      </c>
      <c r="Z193" s="181">
        <f t="shared" si="33"/>
        <v>2450.04</v>
      </c>
      <c r="AA193" s="284">
        <f>((X193*(1-(1+Assumptions!$H$40)^(-1*(G193-Q193))))/Assumptions!$H$40)</f>
        <v>27210.285989499218</v>
      </c>
      <c r="AB193" s="284">
        <f>((Y193*(1-(1+Assumptions!$I$40)^(-1*(G193-Q193))))/Assumptions!$I$40)</f>
        <v>27210.285989499218</v>
      </c>
      <c r="AC193" s="285">
        <f>((Z193*(1-(1+Assumptions!$J$40)^(-1*(G193-Q193))))/Assumptions!$J$40)</f>
        <v>27210.285989499218</v>
      </c>
      <c r="AD193" s="148">
        <f>((X193*(1-(1+Assumptions!$H$46)^(-1*(G193-Q193))))/Assumptions!$H$46)</f>
        <v>40218.382953672241</v>
      </c>
      <c r="AE193" s="148">
        <f>((Y193*(1-(1+Assumptions!$I$46)^(-1*(G193-Q193))))/Assumptions!$I$46)</f>
        <v>40218.382953672241</v>
      </c>
      <c r="AF193" s="148">
        <f>((Z193*(1-(1+Assumptions!$J$46)^(-1*(G193-Q193))))/Assumptions!$J$46)</f>
        <v>40218.382953672241</v>
      </c>
      <c r="AG193" s="145">
        <v>37134</v>
      </c>
      <c r="AH193" s="148">
        <f>((AI193*(1-(1+Assumptions!$M$40)^(-1*(G193-Q193))))/Assumptions!$M$40)</f>
        <v>44172.617110260944</v>
      </c>
      <c r="AI193" s="419">
        <f t="shared" ref="AI193:AI199" si="34">M193*12</f>
        <v>2450.04</v>
      </c>
      <c r="AJ193" s="148">
        <f>((AI193*(1-(1+Assumptions!$L$40)^(-1*(G193-Q193))))/Assumptions!$L$40)</f>
        <v>27210.285989499218</v>
      </c>
      <c r="AK193" s="148">
        <f>((AI193*(1-(1+Assumptions!$L$46)^(-1*(G193-Q193))))/Assumptions!$L$46)</f>
        <v>40218.382953672241</v>
      </c>
      <c r="AL193" s="148"/>
      <c r="AM193" s="3" t="s">
        <v>80</v>
      </c>
      <c r="AN193" s="18"/>
      <c r="AO193" s="108"/>
      <c r="AP193" s="104"/>
      <c r="AQ193" s="114"/>
      <c r="AR193" s="116"/>
    </row>
    <row r="194" spans="1:44" x14ac:dyDescent="0.2">
      <c r="A194" s="3" t="s">
        <v>108</v>
      </c>
      <c r="B194" s="217">
        <f t="shared" ref="B194:B199" si="35">B193+1</f>
        <v>149</v>
      </c>
      <c r="C194" s="204" t="s">
        <v>22</v>
      </c>
      <c r="D194" s="263" t="s">
        <v>481</v>
      </c>
      <c r="E194" s="260"/>
      <c r="F194" s="105" t="s">
        <v>5</v>
      </c>
      <c r="G194" s="5">
        <f>IF(F194="f",Assumptions!$E$39,Assumptions!$E$38)</f>
        <v>89.3</v>
      </c>
      <c r="H194" s="108">
        <v>12963</v>
      </c>
      <c r="J194" s="305">
        <v>36770</v>
      </c>
      <c r="K194" s="202"/>
      <c r="L194" s="203"/>
      <c r="M194" s="241">
        <v>371.96</v>
      </c>
      <c r="N194" s="126"/>
      <c r="O194" s="139">
        <f t="shared" si="32"/>
        <v>4463.5199999999995</v>
      </c>
      <c r="P194" s="35">
        <v>13.5</v>
      </c>
      <c r="R194" s="3">
        <v>65</v>
      </c>
      <c r="V194" s="392">
        <f>((O194*(1-(1+Assumptions!$G$40)^(-1*(G194-Q194))))/Assumptions!$G$40)</f>
        <v>49572.111361385752</v>
      </c>
      <c r="W194" s="392">
        <f>((O194*(1-(1+Assumptions!$G$46)^(-1*(G194-Q194))))/Assumptions!$G$46)</f>
        <v>73270.459535915768</v>
      </c>
      <c r="X194" s="283">
        <f t="shared" si="33"/>
        <v>4463.5199999999995</v>
      </c>
      <c r="Y194" s="181">
        <f t="shared" si="33"/>
        <v>4463.5199999999995</v>
      </c>
      <c r="Z194" s="181">
        <f t="shared" si="33"/>
        <v>4463.5199999999995</v>
      </c>
      <c r="AA194" s="284">
        <f>((X194*(1-(1+Assumptions!$H$40)^(-1*(G194-Q194))))/Assumptions!$H$40)</f>
        <v>49572.111361385752</v>
      </c>
      <c r="AB194" s="284">
        <f>((Y194*(1-(1+Assumptions!$I$40)^(-1*(G194-Q194))))/Assumptions!$I$40)</f>
        <v>49572.111361385752</v>
      </c>
      <c r="AC194" s="285">
        <f>((Z194*(1-(1+Assumptions!$J$40)^(-1*(G194-Q194))))/Assumptions!$J$40)</f>
        <v>49572.111361385752</v>
      </c>
      <c r="AD194" s="148">
        <f>((X194*(1-(1+Assumptions!$H$46)^(-1*(G194-Q194))))/Assumptions!$H$46)</f>
        <v>73270.459535915768</v>
      </c>
      <c r="AE194" s="148">
        <f>((Y194*(1-(1+Assumptions!$I$46)^(-1*(G194-Q194))))/Assumptions!$I$46)</f>
        <v>73270.459535915768</v>
      </c>
      <c r="AF194" s="148">
        <f>((Z194*(1-(1+Assumptions!$J$46)^(-1*(G194-Q194))))/Assumptions!$J$46)</f>
        <v>73270.459535915768</v>
      </c>
      <c r="AG194" s="145">
        <v>37134</v>
      </c>
      <c r="AH194" s="148">
        <f>((AI194*(1-(1+Assumptions!$M$40)^(-1*(G194-Q194))))/Assumptions!$M$40)</f>
        <v>80474.343245004929</v>
      </c>
      <c r="AI194" s="419">
        <f t="shared" si="34"/>
        <v>4463.5199999999995</v>
      </c>
      <c r="AJ194" s="148">
        <f>((AI194*(1-(1+Assumptions!$L$40)^(-1*(G194-Q194))))/Assumptions!$L$40)</f>
        <v>49572.111361385752</v>
      </c>
      <c r="AK194" s="148">
        <f>((AI194*(1-(1+Assumptions!$L$46)^(-1*(G194-Q194))))/Assumptions!$L$46)</f>
        <v>73270.459535915768</v>
      </c>
      <c r="AL194" s="148"/>
      <c r="AM194" s="3" t="s">
        <v>81</v>
      </c>
      <c r="AN194" s="18"/>
      <c r="AO194" s="108"/>
      <c r="AP194" s="104"/>
      <c r="AQ194" s="114"/>
      <c r="AR194" s="116"/>
    </row>
    <row r="195" spans="1:44" x14ac:dyDescent="0.2">
      <c r="A195" s="3" t="s">
        <v>108</v>
      </c>
      <c r="B195" s="217">
        <f t="shared" si="35"/>
        <v>150</v>
      </c>
      <c r="C195" s="204" t="s">
        <v>22</v>
      </c>
      <c r="D195" s="263" t="s">
        <v>482</v>
      </c>
      <c r="E195" s="260"/>
      <c r="F195" s="105" t="s">
        <v>5</v>
      </c>
      <c r="G195" s="5">
        <f>IF(F195="f",Assumptions!$E$39,Assumptions!$E$38)</f>
        <v>89.3</v>
      </c>
      <c r="H195" s="108">
        <v>46124</v>
      </c>
      <c r="J195" s="193">
        <v>33543</v>
      </c>
      <c r="K195" s="202"/>
      <c r="L195" s="203"/>
      <c r="M195" s="241">
        <v>383.55</v>
      </c>
      <c r="N195" s="126"/>
      <c r="O195" s="139">
        <f t="shared" si="32"/>
        <v>4602.6000000000004</v>
      </c>
      <c r="P195" s="35">
        <v>8.1666000000000007</v>
      </c>
      <c r="R195" s="3">
        <v>65</v>
      </c>
      <c r="V195" s="392">
        <f>((O195*(1-(1+Assumptions!$G$40)^(-1*(G195-Q195))))/Assumptions!$G$40)</f>
        <v>51116.741887997385</v>
      </c>
      <c r="W195" s="392">
        <f>((O195*(1-(1+Assumptions!$G$46)^(-1*(G195-Q195))))/Assumptions!$G$46)</f>
        <v>75553.513160018556</v>
      </c>
      <c r="X195" s="283">
        <f t="shared" si="33"/>
        <v>4602.6000000000004</v>
      </c>
      <c r="Y195" s="181">
        <f t="shared" si="33"/>
        <v>4602.6000000000004</v>
      </c>
      <c r="Z195" s="181">
        <f t="shared" si="33"/>
        <v>4602.6000000000004</v>
      </c>
      <c r="AA195" s="284">
        <f>((X195*(1-(1+Assumptions!$H$40)^(-1*(G195-Q195))))/Assumptions!$H$40)</f>
        <v>51116.741887997385</v>
      </c>
      <c r="AB195" s="284">
        <f>((Y195*(1-(1+Assumptions!$I$40)^(-1*(G195-Q195))))/Assumptions!$I$40)</f>
        <v>51116.741887997385</v>
      </c>
      <c r="AC195" s="285">
        <f>((Z195*(1-(1+Assumptions!$J$40)^(-1*(G195-Q195))))/Assumptions!$J$40)</f>
        <v>51116.741887997385</v>
      </c>
      <c r="AD195" s="148">
        <f>((X195*(1-(1+Assumptions!$H$46)^(-1*(G195-Q195))))/Assumptions!$H$46)</f>
        <v>75553.513160018556</v>
      </c>
      <c r="AE195" s="148">
        <f>((Y195*(1-(1+Assumptions!$I$46)^(-1*(G195-Q195))))/Assumptions!$I$46)</f>
        <v>75553.513160018556</v>
      </c>
      <c r="AF195" s="148">
        <f>((Z195*(1-(1+Assumptions!$J$46)^(-1*(G195-Q195))))/Assumptions!$J$46)</f>
        <v>75553.513160018556</v>
      </c>
      <c r="AG195" s="145">
        <v>37134</v>
      </c>
      <c r="AH195" s="148">
        <f>((AI195*(1-(1+Assumptions!$M$40)^(-1*(G195-Q195))))/Assumptions!$M$40)</f>
        <v>82981.86458657289</v>
      </c>
      <c r="AI195" s="419">
        <f t="shared" si="34"/>
        <v>4602.6000000000004</v>
      </c>
      <c r="AJ195" s="148">
        <f>((AI195*(1-(1+Assumptions!$L$40)^(-1*(G195-Q195))))/Assumptions!$L$40)</f>
        <v>51116.741887997385</v>
      </c>
      <c r="AK195" s="148">
        <f>((AI195*(1-(1+Assumptions!$L$46)^(-1*(G195-Q195))))/Assumptions!$L$46)</f>
        <v>75553.513160018556</v>
      </c>
      <c r="AL195" s="148"/>
      <c r="AM195" s="3" t="s">
        <v>81</v>
      </c>
      <c r="AN195" s="18"/>
      <c r="AO195" s="108"/>
      <c r="AP195" s="104"/>
      <c r="AQ195" s="114"/>
      <c r="AR195" s="116"/>
    </row>
    <row r="196" spans="1:44" x14ac:dyDescent="0.2">
      <c r="A196" s="3" t="s">
        <v>108</v>
      </c>
      <c r="B196" s="217">
        <f t="shared" si="35"/>
        <v>151</v>
      </c>
      <c r="C196" s="204" t="s">
        <v>22</v>
      </c>
      <c r="D196" s="263" t="s">
        <v>483</v>
      </c>
      <c r="E196" s="260"/>
      <c r="F196" s="105" t="s">
        <v>5</v>
      </c>
      <c r="G196" s="5">
        <f>IF(F196="f",Assumptions!$E$39,Assumptions!$E$38)</f>
        <v>89.3</v>
      </c>
      <c r="H196" s="108">
        <v>42235</v>
      </c>
      <c r="J196" s="193">
        <v>31778</v>
      </c>
      <c r="K196" s="202"/>
      <c r="L196" s="203"/>
      <c r="M196" s="241">
        <v>290.63</v>
      </c>
      <c r="N196" s="126"/>
      <c r="O196" s="139">
        <f t="shared" si="32"/>
        <v>3487.56</v>
      </c>
      <c r="P196" s="35">
        <v>12</v>
      </c>
      <c r="R196" s="3">
        <v>71</v>
      </c>
      <c r="V196" s="392">
        <f>((O196*(1-(1+Assumptions!$G$40)^(-1*(G196-Q196))))/Assumptions!$G$40)</f>
        <v>38733.043136249973</v>
      </c>
      <c r="W196" s="392">
        <f>((O196*(1-(1+Assumptions!$G$46)^(-1*(G196-Q196))))/Assumptions!$G$46)</f>
        <v>57249.687210783966</v>
      </c>
      <c r="X196" s="283">
        <f t="shared" si="33"/>
        <v>3487.56</v>
      </c>
      <c r="Y196" s="181">
        <f t="shared" si="33"/>
        <v>3487.56</v>
      </c>
      <c r="Z196" s="181">
        <f t="shared" si="33"/>
        <v>3487.56</v>
      </c>
      <c r="AA196" s="284">
        <f>((X196*(1-(1+Assumptions!$H$40)^(-1*(G196-Q196))))/Assumptions!$H$40)</f>
        <v>38733.043136249973</v>
      </c>
      <c r="AB196" s="284">
        <f>((Y196*(1-(1+Assumptions!$I$40)^(-1*(G196-Q196))))/Assumptions!$I$40)</f>
        <v>38733.043136249973</v>
      </c>
      <c r="AC196" s="285">
        <f>((Z196*(1-(1+Assumptions!$J$40)^(-1*(G196-Q196))))/Assumptions!$J$40)</f>
        <v>38733.043136249973</v>
      </c>
      <c r="AD196" s="148">
        <f>((X196*(1-(1+Assumptions!$H$46)^(-1*(G196-Q196))))/Assumptions!$H$46)</f>
        <v>57249.687210783966</v>
      </c>
      <c r="AE196" s="148">
        <f>((Y196*(1-(1+Assumptions!$I$46)^(-1*(G196-Q196))))/Assumptions!$I$46)</f>
        <v>57249.687210783966</v>
      </c>
      <c r="AF196" s="148">
        <f>((Z196*(1-(1+Assumptions!$J$46)^(-1*(G196-Q196))))/Assumptions!$J$46)</f>
        <v>57249.687210783966</v>
      </c>
      <c r="AG196" s="145">
        <v>37134</v>
      </c>
      <c r="AH196" s="148">
        <f>((AI196*(1-(1+Assumptions!$M$40)^(-1*(G196-Q196))))/Assumptions!$M$40)</f>
        <v>62878.423425356996</v>
      </c>
      <c r="AI196" s="419">
        <f t="shared" si="34"/>
        <v>3487.56</v>
      </c>
      <c r="AJ196" s="148">
        <f>((AI196*(1-(1+Assumptions!$L$40)^(-1*(G196-Q196))))/Assumptions!$L$40)</f>
        <v>38733.043136249973</v>
      </c>
      <c r="AK196" s="148">
        <f>((AI196*(1-(1+Assumptions!$L$46)^(-1*(G196-Q196))))/Assumptions!$L$46)</f>
        <v>57249.687210783966</v>
      </c>
      <c r="AL196" s="148"/>
      <c r="AM196" s="3" t="s">
        <v>82</v>
      </c>
      <c r="AN196" s="18"/>
      <c r="AO196" s="108"/>
      <c r="AP196" s="104"/>
      <c r="AQ196" s="114"/>
      <c r="AR196" s="116"/>
    </row>
    <row r="197" spans="1:44" x14ac:dyDescent="0.2">
      <c r="A197" s="3" t="s">
        <v>108</v>
      </c>
      <c r="B197" s="217">
        <f t="shared" si="35"/>
        <v>152</v>
      </c>
      <c r="C197" s="204" t="s">
        <v>22</v>
      </c>
      <c r="D197" s="263" t="s">
        <v>484</v>
      </c>
      <c r="E197" s="260"/>
      <c r="F197" s="105" t="s">
        <v>5</v>
      </c>
      <c r="G197" s="5">
        <f>IF(F197="f",Assumptions!$E$39,Assumptions!$E$38)</f>
        <v>89.3</v>
      </c>
      <c r="H197" s="108">
        <v>11329</v>
      </c>
      <c r="J197" s="193">
        <v>33909</v>
      </c>
      <c r="K197" s="202"/>
      <c r="L197" s="203"/>
      <c r="M197" s="241">
        <v>523.91</v>
      </c>
      <c r="N197" s="126"/>
      <c r="O197" s="139">
        <f t="shared" si="32"/>
        <v>6286.92</v>
      </c>
      <c r="P197" s="35">
        <v>12.583299999999999</v>
      </c>
      <c r="R197" s="3">
        <v>62</v>
      </c>
      <c r="V197" s="392">
        <f>((O197*(1-(1+Assumptions!$G$40)^(-1*(G197-Q197))))/Assumptions!$G$40)</f>
        <v>69822.897256004973</v>
      </c>
      <c r="W197" s="392">
        <f>((O197*(1-(1+Assumptions!$G$46)^(-1*(G197-Q197))))/Assumptions!$G$46)</f>
        <v>103202.29717029152</v>
      </c>
      <c r="X197" s="283">
        <f t="shared" si="33"/>
        <v>6286.92</v>
      </c>
      <c r="Y197" s="181">
        <f t="shared" si="33"/>
        <v>6286.92</v>
      </c>
      <c r="Z197" s="181">
        <f t="shared" si="33"/>
        <v>6286.92</v>
      </c>
      <c r="AA197" s="284">
        <f>((X197*(1-(1+Assumptions!$H$40)^(-1*(G197-Q197))))/Assumptions!$H$40)</f>
        <v>69822.897256004973</v>
      </c>
      <c r="AB197" s="284">
        <f>((Y197*(1-(1+Assumptions!$I$40)^(-1*(G197-Q197))))/Assumptions!$I$40)</f>
        <v>69822.897256004973</v>
      </c>
      <c r="AC197" s="285">
        <f>((Z197*(1-(1+Assumptions!$J$40)^(-1*(G197-Q197))))/Assumptions!$J$40)</f>
        <v>69822.897256004973</v>
      </c>
      <c r="AD197" s="148">
        <f>((X197*(1-(1+Assumptions!$H$46)^(-1*(G197-Q197))))/Assumptions!$H$46)</f>
        <v>103202.29717029152</v>
      </c>
      <c r="AE197" s="148">
        <f>((Y197*(1-(1+Assumptions!$I$46)^(-1*(G197-Q197))))/Assumptions!$I$46)</f>
        <v>103202.29717029152</v>
      </c>
      <c r="AF197" s="148">
        <f>((Z197*(1-(1+Assumptions!$J$46)^(-1*(G197-Q197))))/Assumptions!$J$46)</f>
        <v>103202.29717029152</v>
      </c>
      <c r="AG197" s="145">
        <v>37134</v>
      </c>
      <c r="AH197" s="148">
        <f>((AI197*(1-(1+Assumptions!$M$40)^(-1*(G197-Q197))))/Assumptions!$M$40)</f>
        <v>113349.05142889167</v>
      </c>
      <c r="AI197" s="419">
        <f t="shared" si="34"/>
        <v>6286.92</v>
      </c>
      <c r="AJ197" s="148">
        <f>((AI197*(1-(1+Assumptions!$L$40)^(-1*(G197-Q197))))/Assumptions!$L$40)</f>
        <v>69822.897256004973</v>
      </c>
      <c r="AK197" s="148">
        <f>((AI197*(1-(1+Assumptions!$L$46)^(-1*(G197-Q197))))/Assumptions!$L$46)</f>
        <v>103202.29717029152</v>
      </c>
      <c r="AL197" s="148"/>
      <c r="AM197" s="3" t="s">
        <v>81</v>
      </c>
      <c r="AN197" s="18"/>
      <c r="AO197" s="108"/>
      <c r="AP197" s="104"/>
      <c r="AQ197" s="114"/>
      <c r="AR197" s="116"/>
    </row>
    <row r="198" spans="1:44" x14ac:dyDescent="0.2">
      <c r="A198" s="3" t="s">
        <v>108</v>
      </c>
      <c r="B198" s="217">
        <f t="shared" si="35"/>
        <v>153</v>
      </c>
      <c r="C198" s="204" t="s">
        <v>22</v>
      </c>
      <c r="D198" s="263" t="s">
        <v>485</v>
      </c>
      <c r="E198" s="260"/>
      <c r="F198" s="105" t="s">
        <v>5</v>
      </c>
      <c r="G198" s="5">
        <f>IF(F198="f",Assumptions!$E$39,Assumptions!$E$38)</f>
        <v>89.3</v>
      </c>
      <c r="H198" s="108">
        <v>45899</v>
      </c>
      <c r="J198" s="193">
        <v>35156</v>
      </c>
      <c r="K198" s="202"/>
      <c r="L198" s="203"/>
      <c r="M198" s="241">
        <v>275.08</v>
      </c>
      <c r="N198" s="126"/>
      <c r="O198" s="139">
        <f t="shared" si="32"/>
        <v>3300.96</v>
      </c>
      <c r="P198" s="35">
        <v>3.75</v>
      </c>
      <c r="R198" s="3">
        <v>70</v>
      </c>
      <c r="V198" s="392">
        <f>((O198*(1-(1+Assumptions!$G$40)^(-1*(G198-Q198))))/Assumptions!$G$40)</f>
        <v>36660.652740321522</v>
      </c>
      <c r="W198" s="392">
        <f>((O198*(1-(1+Assumptions!$G$46)^(-1*(G198-Q198))))/Assumptions!$G$46)</f>
        <v>54186.573849714252</v>
      </c>
      <c r="X198" s="283">
        <f t="shared" si="33"/>
        <v>3300.96</v>
      </c>
      <c r="Y198" s="181">
        <f t="shared" si="33"/>
        <v>3300.96</v>
      </c>
      <c r="Z198" s="181">
        <f t="shared" si="33"/>
        <v>3300.96</v>
      </c>
      <c r="AA198" s="284">
        <f>((X198*(1-(1+Assumptions!$H$40)^(-1*(G198-Q198))))/Assumptions!$H$40)</f>
        <v>36660.652740321522</v>
      </c>
      <c r="AB198" s="284">
        <f>((Y198*(1-(1+Assumptions!$I$40)^(-1*(G198-Q198))))/Assumptions!$I$40)</f>
        <v>36660.652740321522</v>
      </c>
      <c r="AC198" s="285">
        <f>((Z198*(1-(1+Assumptions!$J$40)^(-1*(G198-Q198))))/Assumptions!$J$40)</f>
        <v>36660.652740321522</v>
      </c>
      <c r="AD198" s="148">
        <f>((X198*(1-(1+Assumptions!$H$46)^(-1*(G198-Q198))))/Assumptions!$H$46)</f>
        <v>54186.573849714252</v>
      </c>
      <c r="AE198" s="148">
        <f>((Y198*(1-(1+Assumptions!$I$46)^(-1*(G198-Q198))))/Assumptions!$I$46)</f>
        <v>54186.573849714252</v>
      </c>
      <c r="AF198" s="148">
        <f>((Z198*(1-(1+Assumptions!$J$46)^(-1*(G198-Q198))))/Assumptions!$J$46)</f>
        <v>54186.573849714252</v>
      </c>
      <c r="AG198" s="145">
        <v>37134</v>
      </c>
      <c r="AH198" s="148">
        <f>((AI198*(1-(1+Assumptions!$M$40)^(-1*(G198-Q198))))/Assumptions!$M$40)</f>
        <v>59514.147596074748</v>
      </c>
      <c r="AI198" s="419">
        <f t="shared" si="34"/>
        <v>3300.96</v>
      </c>
      <c r="AJ198" s="148">
        <f>((AI198*(1-(1+Assumptions!$L$40)^(-1*(G198-Q198))))/Assumptions!$L$40)</f>
        <v>36660.652740321522</v>
      </c>
      <c r="AK198" s="148">
        <f>((AI198*(1-(1+Assumptions!$L$46)^(-1*(G198-Q198))))/Assumptions!$L$46)</f>
        <v>54186.573849714252</v>
      </c>
      <c r="AL198" s="148"/>
      <c r="AM198" s="3" t="s">
        <v>94</v>
      </c>
      <c r="AN198" s="18"/>
      <c r="AO198" s="108"/>
      <c r="AP198" s="104"/>
      <c r="AQ198" s="114"/>
      <c r="AR198" s="116"/>
    </row>
    <row r="199" spans="1:44" x14ac:dyDescent="0.2">
      <c r="A199" s="3" t="s">
        <v>108</v>
      </c>
      <c r="B199" s="217">
        <f t="shared" si="35"/>
        <v>154</v>
      </c>
      <c r="C199" s="204" t="s">
        <v>22</v>
      </c>
      <c r="D199" s="263" t="s">
        <v>486</v>
      </c>
      <c r="E199" s="260"/>
      <c r="F199" s="105" t="s">
        <v>5</v>
      </c>
      <c r="G199" s="5">
        <f>IF(F199="f",Assumptions!$E$39,Assumptions!$E$38)</f>
        <v>89.3</v>
      </c>
      <c r="H199" s="108">
        <v>46196</v>
      </c>
      <c r="J199" s="193">
        <v>34425</v>
      </c>
      <c r="K199" s="202"/>
      <c r="L199" s="203"/>
      <c r="M199" s="241">
        <v>940.92</v>
      </c>
      <c r="N199" s="126"/>
      <c r="O199" s="139">
        <f t="shared" si="32"/>
        <v>11291.039999999999</v>
      </c>
      <c r="P199" s="35">
        <v>17</v>
      </c>
      <c r="R199" s="3">
        <v>65</v>
      </c>
      <c r="V199" s="392">
        <f>((O199*(1-(1+Assumptions!$G$40)^(-1*(G199-Q199))))/Assumptions!$G$40)</f>
        <v>125398.943494341</v>
      </c>
      <c r="W199" s="392">
        <f>((O199*(1-(1+Assumptions!$G$46)^(-1*(G199-Q199))))/Assumptions!$G$46)</f>
        <v>185346.92113811665</v>
      </c>
      <c r="X199" s="283">
        <f t="shared" si="33"/>
        <v>11291.039999999999</v>
      </c>
      <c r="Y199" s="181">
        <f t="shared" si="33"/>
        <v>11291.039999999999</v>
      </c>
      <c r="Z199" s="181">
        <f t="shared" si="33"/>
        <v>11291.039999999999</v>
      </c>
      <c r="AA199" s="284">
        <f>((X199*(1-(1+Assumptions!$H$40)^(-1*(G199-Q199))))/Assumptions!$H$40)</f>
        <v>125398.943494341</v>
      </c>
      <c r="AB199" s="284">
        <f>((Y199*(1-(1+Assumptions!$I$40)^(-1*(G199-Q199))))/Assumptions!$I$40)</f>
        <v>125398.943494341</v>
      </c>
      <c r="AC199" s="285">
        <f>((Z199*(1-(1+Assumptions!$J$40)^(-1*(G199-Q199))))/Assumptions!$J$40)</f>
        <v>125398.943494341</v>
      </c>
      <c r="AD199" s="148">
        <f>((X199*(1-(1+Assumptions!$H$46)^(-1*(G199-Q199))))/Assumptions!$H$46)</f>
        <v>185346.92113811665</v>
      </c>
      <c r="AE199" s="148">
        <f>((Y199*(1-(1+Assumptions!$I$46)^(-1*(G199-Q199))))/Assumptions!$I$46)</f>
        <v>185346.92113811665</v>
      </c>
      <c r="AF199" s="148">
        <f>((Z199*(1-(1+Assumptions!$J$46)^(-1*(G199-Q199))))/Assumptions!$J$46)</f>
        <v>185346.92113811665</v>
      </c>
      <c r="AG199" s="145">
        <v>37134</v>
      </c>
      <c r="AH199" s="148">
        <f>((AI199*(1-(1+Assumptions!$M$40)^(-1*(G199-Q199))))/Assumptions!$M$40)</f>
        <v>203570.05873236383</v>
      </c>
      <c r="AI199" s="419">
        <f t="shared" si="34"/>
        <v>11291.039999999999</v>
      </c>
      <c r="AJ199" s="148">
        <f>((AI199*(1-(1+Assumptions!$L$40)^(-1*(G199-Q199))))/Assumptions!$L$40)</f>
        <v>125398.943494341</v>
      </c>
      <c r="AK199" s="148">
        <f>((AI199*(1-(1+Assumptions!$L$46)^(-1*(G199-Q199))))/Assumptions!$L$46)</f>
        <v>185346.92113811665</v>
      </c>
      <c r="AL199" s="148"/>
      <c r="AM199" s="3" t="s">
        <v>81</v>
      </c>
      <c r="AN199" s="18"/>
      <c r="AO199" s="108"/>
      <c r="AP199" s="104"/>
      <c r="AQ199" s="114"/>
      <c r="AR199" s="116"/>
    </row>
    <row r="200" spans="1:44" x14ac:dyDescent="0.2">
      <c r="B200" s="217"/>
      <c r="C200" s="204"/>
      <c r="D200" s="260"/>
      <c r="E200" s="260"/>
      <c r="F200" s="105"/>
      <c r="G200" s="5"/>
      <c r="H200" s="108"/>
      <c r="J200" s="193"/>
      <c r="K200" s="202"/>
      <c r="L200" s="203"/>
      <c r="M200" s="241"/>
      <c r="N200" s="126"/>
      <c r="O200" s="139"/>
      <c r="P200" s="35"/>
      <c r="V200" s="277"/>
      <c r="W200" s="277"/>
      <c r="X200" s="291"/>
      <c r="Y200" s="292"/>
      <c r="Z200" s="292"/>
      <c r="AA200" s="293"/>
      <c r="AB200" s="293"/>
      <c r="AC200" s="294"/>
      <c r="AD200" s="284"/>
      <c r="AE200" s="284"/>
      <c r="AF200" s="284"/>
      <c r="AG200" s="145"/>
      <c r="AH200" s="148"/>
      <c r="AI200" s="419"/>
      <c r="AJ200" s="148"/>
      <c r="AK200" s="148"/>
      <c r="AL200" s="148"/>
      <c r="AM200" s="3"/>
      <c r="AN200" s="18"/>
      <c r="AO200" s="108"/>
      <c r="AP200" s="104"/>
      <c r="AQ200" s="114"/>
      <c r="AR200" s="116"/>
    </row>
    <row r="201" spans="1:44" x14ac:dyDescent="0.2">
      <c r="M201" s="241"/>
      <c r="N201" s="126"/>
      <c r="O201" s="143"/>
      <c r="T201" s="18"/>
      <c r="V201" s="277"/>
      <c r="W201" s="277"/>
      <c r="X201" s="299"/>
      <c r="Y201" s="284"/>
      <c r="Z201" s="284"/>
      <c r="AA201" s="284"/>
      <c r="AB201" s="284"/>
      <c r="AC201" s="285"/>
      <c r="AD201" s="148"/>
      <c r="AE201" s="148"/>
      <c r="AF201" s="148"/>
      <c r="AG201" s="145"/>
      <c r="AH201" s="84"/>
      <c r="AI201" s="423"/>
      <c r="AJ201" s="84"/>
      <c r="AK201" s="84"/>
      <c r="AL201" s="84"/>
      <c r="AM201" s="193"/>
      <c r="AN201" s="3"/>
      <c r="AO201" s="104"/>
      <c r="AP201" s="104"/>
      <c r="AQ201" s="114"/>
      <c r="AR201" s="116"/>
    </row>
    <row r="202" spans="1:44" x14ac:dyDescent="0.2">
      <c r="D202" s="20" t="s">
        <v>43</v>
      </c>
      <c r="M202" s="250" t="s">
        <v>31</v>
      </c>
      <c r="N202" s="135"/>
      <c r="O202" s="142"/>
      <c r="S202" s="204" t="s">
        <v>42</v>
      </c>
      <c r="T202" s="18"/>
      <c r="V202" s="277"/>
      <c r="W202" s="277"/>
      <c r="X202" s="290"/>
      <c r="Y202" s="281"/>
      <c r="Z202" s="281"/>
      <c r="AA202" s="281"/>
      <c r="AB202" s="281"/>
      <c r="AC202" s="282"/>
      <c r="AD202" s="284"/>
      <c r="AE202" s="284"/>
      <c r="AF202" s="284"/>
      <c r="AG202" s="145"/>
      <c r="AH202" s="89"/>
      <c r="AI202" s="422"/>
      <c r="AJ202" s="89"/>
      <c r="AK202" s="89"/>
      <c r="AL202" s="89"/>
      <c r="AM202" s="3"/>
      <c r="AN202" s="204"/>
      <c r="AO202" s="104"/>
      <c r="AP202" s="104"/>
      <c r="AQ202" s="114"/>
      <c r="AR202" s="116"/>
    </row>
    <row r="203" spans="1:44" x14ac:dyDescent="0.2">
      <c r="A203" s="180" t="s">
        <v>108</v>
      </c>
      <c r="B203" s="217">
        <f>B199+1</f>
        <v>155</v>
      </c>
      <c r="C203" s="204" t="s">
        <v>533</v>
      </c>
      <c r="D203" s="263" t="s">
        <v>487</v>
      </c>
      <c r="E203" s="263" t="s">
        <v>506</v>
      </c>
      <c r="F203" s="105" t="s">
        <v>5</v>
      </c>
      <c r="G203" s="5">
        <f>IF(F203="f",Assumptions!$E$39,Assumptions!$E$38)</f>
        <v>89.3</v>
      </c>
      <c r="H203" s="119">
        <v>11942</v>
      </c>
      <c r="J203" s="21">
        <f>DATE(97,7,1)</f>
        <v>35612</v>
      </c>
      <c r="K203" s="24"/>
      <c r="L203" s="97"/>
      <c r="M203" s="251">
        <v>698.94</v>
      </c>
      <c r="N203" s="136"/>
      <c r="O203" s="139">
        <f>M203*12</f>
        <v>8387.2800000000007</v>
      </c>
      <c r="T203" s="18"/>
      <c r="V203" s="392">
        <f>((O203*(1-(1+Assumptions!$G$40)^(-1*(G203-Q203))))/Assumptions!$G$40)</f>
        <v>93149.61693442025</v>
      </c>
      <c r="W203" s="392">
        <f>((O203*(1-(1+Assumptions!$G$46)^(-1*(G203-Q203))))/Assumptions!$G$46)</f>
        <v>137680.5435746666</v>
      </c>
      <c r="X203" s="283">
        <f t="shared" ref="X203:Z206" si="36">$M203*12</f>
        <v>8387.2800000000007</v>
      </c>
      <c r="Y203" s="181">
        <f t="shared" si="36"/>
        <v>8387.2800000000007</v>
      </c>
      <c r="Z203" s="181">
        <f t="shared" si="36"/>
        <v>8387.2800000000007</v>
      </c>
      <c r="AA203" s="284">
        <f>((X203*(1-(1+Assumptions!$H$40)^(-1*(G203-Q203))))/Assumptions!$H$40)</f>
        <v>93149.61693442025</v>
      </c>
      <c r="AB203" s="284">
        <f>((Y203*(1-(1+Assumptions!$I$40)^(-1*(G203-Q203))))/Assumptions!$I$40)</f>
        <v>93149.61693442025</v>
      </c>
      <c r="AC203" s="285">
        <f>((Z203*(1-(1+Assumptions!$J$40)^(-1*(G203-Q203))))/Assumptions!$J$40)</f>
        <v>93149.61693442025</v>
      </c>
      <c r="AD203" s="148">
        <f>((X203*(1-(1+Assumptions!$H$46)^(-1*(G203-Q203))))/Assumptions!$H$46)</f>
        <v>137680.5435746666</v>
      </c>
      <c r="AE203" s="148">
        <f>((Y203*(1-(1+Assumptions!$I$46)^(-1*(G203-Q203))))/Assumptions!$I$46)</f>
        <v>137680.5435746666</v>
      </c>
      <c r="AF203" s="148">
        <f>((Z203*(1-(1+Assumptions!$J$46)^(-1*(G203-Q203))))/Assumptions!$J$46)</f>
        <v>137680.5435746666</v>
      </c>
      <c r="AG203" s="145">
        <v>37134</v>
      </c>
      <c r="AH203" s="148">
        <f>((AI203*(1-(1+Assumptions!$M$40)^(-1*(G203-Q203))))/Assumptions!$M$40)</f>
        <v>151217.16708157805</v>
      </c>
      <c r="AI203" s="419">
        <f>M203*12</f>
        <v>8387.2800000000007</v>
      </c>
      <c r="AJ203" s="148">
        <f>((AI203*(1-(1+Assumptions!$L$40)^(-1*(G203-Q203))))/Assumptions!$L$40)</f>
        <v>93149.61693442025</v>
      </c>
      <c r="AK203" s="148">
        <f>((AI203*(1-(1+Assumptions!$L$46)^(-1*(G203-Q203))))/Assumptions!$L$46)</f>
        <v>137680.5435746666</v>
      </c>
      <c r="AL203" s="148"/>
      <c r="AM203" s="204" t="s">
        <v>41</v>
      </c>
      <c r="AN203" s="3"/>
      <c r="AO203" s="119"/>
      <c r="AP203" s="104"/>
      <c r="AQ203" s="114"/>
      <c r="AR203" s="116"/>
    </row>
    <row r="204" spans="1:44" x14ac:dyDescent="0.2">
      <c r="A204" s="180" t="s">
        <v>108</v>
      </c>
      <c r="B204" s="217">
        <f>SUM(B203+1)</f>
        <v>156</v>
      </c>
      <c r="C204" s="204" t="s">
        <v>533</v>
      </c>
      <c r="D204" s="263" t="s">
        <v>488</v>
      </c>
      <c r="E204" s="263" t="s">
        <v>507</v>
      </c>
      <c r="F204" s="105" t="s">
        <v>5</v>
      </c>
      <c r="G204" s="5">
        <f>IF(F204="f",Assumptions!$E$39,Assumptions!$E$38)</f>
        <v>89.3</v>
      </c>
      <c r="H204" s="119">
        <v>14295</v>
      </c>
      <c r="J204" s="21">
        <v>36861</v>
      </c>
      <c r="K204" s="24"/>
      <c r="L204" s="97"/>
      <c r="M204" s="251">
        <v>572.35</v>
      </c>
      <c r="N204" s="136"/>
      <c r="O204" s="139">
        <f>M204*12</f>
        <v>6868.2000000000007</v>
      </c>
      <c r="T204" s="18"/>
      <c r="V204" s="392">
        <f>((O204*(1-(1+Assumptions!$G$40)^(-1*(G204-Q204))))/Assumptions!$G$40)</f>
        <v>76278.626566537103</v>
      </c>
      <c r="W204" s="392">
        <f>((O204*(1-(1+Assumptions!$G$46)^(-1*(G204-Q204))))/Assumptions!$G$46)</f>
        <v>112744.24001339232</v>
      </c>
      <c r="X204" s="283">
        <f t="shared" si="36"/>
        <v>6868.2000000000007</v>
      </c>
      <c r="Y204" s="181">
        <f t="shared" si="36"/>
        <v>6868.2000000000007</v>
      </c>
      <c r="Z204" s="181">
        <f t="shared" si="36"/>
        <v>6868.2000000000007</v>
      </c>
      <c r="AA204" s="284">
        <f>((X204*(1-(1+Assumptions!$H$40)^(-1*(G204-Q204))))/Assumptions!$H$40)</f>
        <v>76278.626566537103</v>
      </c>
      <c r="AB204" s="284">
        <f>((Y204*(1-(1+Assumptions!$I$40)^(-1*(G204-Q204))))/Assumptions!$I$40)</f>
        <v>76278.626566537103</v>
      </c>
      <c r="AC204" s="285">
        <f>((Z204*(1-(1+Assumptions!$J$40)^(-1*(G204-Q204))))/Assumptions!$J$40)</f>
        <v>76278.626566537103</v>
      </c>
      <c r="AD204" s="148">
        <f>((X204*(1-(1+Assumptions!$H$46)^(-1*(G204-Q204))))/Assumptions!$H$46)</f>
        <v>112744.24001339232</v>
      </c>
      <c r="AE204" s="148">
        <f>((Y204*(1-(1+Assumptions!$I$46)^(-1*(G204-Q204))))/Assumptions!$I$46)</f>
        <v>112744.24001339232</v>
      </c>
      <c r="AF204" s="148">
        <f>((Z204*(1-(1+Assumptions!$J$46)^(-1*(G204-Q204))))/Assumptions!$J$46)</f>
        <v>112744.24001339232</v>
      </c>
      <c r="AG204" s="145">
        <v>37134</v>
      </c>
      <c r="AH204" s="148">
        <f>((AI204*(1-(1+Assumptions!$M$40)^(-1*(G204-Q204))))/Assumptions!$M$40)</f>
        <v>123829.14925335678</v>
      </c>
      <c r="AI204" s="419">
        <f>M204*12</f>
        <v>6868.2000000000007</v>
      </c>
      <c r="AJ204" s="148">
        <f>((AI204*(1-(1+Assumptions!$L$40)^(-1*(G204-Q204))))/Assumptions!$L$40)</f>
        <v>76278.626566537103</v>
      </c>
      <c r="AK204" s="148">
        <f>((AI204*(1-(1+Assumptions!$L$46)^(-1*(G204-Q204))))/Assumptions!$L$46)</f>
        <v>112744.24001339232</v>
      </c>
      <c r="AL204" s="148"/>
      <c r="AM204" s="180" t="s">
        <v>41</v>
      </c>
      <c r="AN204" s="3"/>
      <c r="AO204" s="119"/>
      <c r="AP204" s="104"/>
      <c r="AQ204" s="114"/>
      <c r="AR204" s="116"/>
    </row>
    <row r="205" spans="1:44" x14ac:dyDescent="0.2">
      <c r="A205" s="180" t="s">
        <v>108</v>
      </c>
      <c r="B205" s="217">
        <f>SUM(B204+1)</f>
        <v>157</v>
      </c>
      <c r="C205" s="204" t="s">
        <v>533</v>
      </c>
      <c r="D205" s="263" t="s">
        <v>489</v>
      </c>
      <c r="E205" s="263" t="s">
        <v>508</v>
      </c>
      <c r="F205" s="105" t="s">
        <v>5</v>
      </c>
      <c r="G205" s="5">
        <f>IF(F205="f",Assumptions!$E$39,Assumptions!$E$38)</f>
        <v>89.3</v>
      </c>
      <c r="H205" s="119">
        <v>12949</v>
      </c>
      <c r="J205" s="21">
        <v>36130</v>
      </c>
      <c r="K205" s="24"/>
      <c r="L205" s="97"/>
      <c r="M205" s="251">
        <v>853.18</v>
      </c>
      <c r="N205" s="136"/>
      <c r="O205" s="139">
        <f>M205*12</f>
        <v>10238.16</v>
      </c>
      <c r="T205" s="18"/>
      <c r="V205" s="392">
        <f>((O205*(1-(1+Assumptions!$G$40)^(-1*(G205-Q205))))/Assumptions!$G$40)</f>
        <v>113705.59729892218</v>
      </c>
      <c r="W205" s="392">
        <f>((O205*(1-(1+Assumptions!$G$46)^(-1*(G205-Q205))))/Assumptions!$G$46)</f>
        <v>168063.47635996513</v>
      </c>
      <c r="X205" s="283">
        <f t="shared" si="36"/>
        <v>10238.16</v>
      </c>
      <c r="Y205" s="181">
        <f t="shared" si="36"/>
        <v>10238.16</v>
      </c>
      <c r="Z205" s="181">
        <f t="shared" si="36"/>
        <v>10238.16</v>
      </c>
      <c r="AA205" s="284">
        <f>((X205*(1-(1+Assumptions!$H$40)^(-1*(G205-Q205))))/Assumptions!$H$40)</f>
        <v>113705.59729892218</v>
      </c>
      <c r="AB205" s="284">
        <f>((Y205*(1-(1+Assumptions!$I$40)^(-1*(G205-Q205))))/Assumptions!$I$40)</f>
        <v>113705.59729892218</v>
      </c>
      <c r="AC205" s="285">
        <f>((Z205*(1-(1+Assumptions!$J$40)^(-1*(G205-Q205))))/Assumptions!$J$40)</f>
        <v>113705.59729892218</v>
      </c>
      <c r="AD205" s="148">
        <f>((X205*(1-(1+Assumptions!$H$46)^(-1*(G205-Q205))))/Assumptions!$H$46)</f>
        <v>168063.47635996513</v>
      </c>
      <c r="AE205" s="148">
        <f>((Y205*(1-(1+Assumptions!$I$46)^(-1*(G205-Q205))))/Assumptions!$I$46)</f>
        <v>168063.47635996513</v>
      </c>
      <c r="AF205" s="148">
        <f>((Z205*(1-(1+Assumptions!$J$46)^(-1*(G205-Q205))))/Assumptions!$J$46)</f>
        <v>168063.47635996513</v>
      </c>
      <c r="AG205" s="145">
        <v>37134</v>
      </c>
      <c r="AH205" s="148">
        <f>((AI205*(1-(1+Assumptions!$M$40)^(-1*(G205-Q205))))/Assumptions!$M$40)</f>
        <v>184587.32167376418</v>
      </c>
      <c r="AI205" s="419">
        <f>M205*12</f>
        <v>10238.16</v>
      </c>
      <c r="AJ205" s="148">
        <f>((AI205*(1-(1+Assumptions!$L$40)^(-1*(G205-Q205))))/Assumptions!$L$40)</f>
        <v>113705.59729892218</v>
      </c>
      <c r="AK205" s="148">
        <f>((AI205*(1-(1+Assumptions!$L$46)^(-1*(G205-Q205))))/Assumptions!$L$46)</f>
        <v>168063.47635996513</v>
      </c>
      <c r="AL205" s="148"/>
      <c r="AM205" s="180" t="s">
        <v>243</v>
      </c>
      <c r="AN205" s="3"/>
      <c r="AO205" s="119"/>
      <c r="AP205" s="104"/>
      <c r="AQ205" s="114"/>
      <c r="AR205" s="116"/>
    </row>
    <row r="206" spans="1:44" x14ac:dyDescent="0.2">
      <c r="A206" s="180" t="s">
        <v>108</v>
      </c>
      <c r="B206" s="217">
        <f>SUM(B205+1)</f>
        <v>158</v>
      </c>
      <c r="C206" s="266" t="s">
        <v>533</v>
      </c>
      <c r="D206" s="263" t="s">
        <v>490</v>
      </c>
      <c r="E206" s="263" t="s">
        <v>509</v>
      </c>
      <c r="F206" s="106" t="s">
        <v>5</v>
      </c>
      <c r="G206" s="5">
        <f>IF(F206="f",Assumptions!$E$39,Assumptions!$E$38)</f>
        <v>89.3</v>
      </c>
      <c r="H206" s="108">
        <v>13473</v>
      </c>
      <c r="J206" s="193">
        <v>36434</v>
      </c>
      <c r="M206" s="241">
        <v>877.18</v>
      </c>
      <c r="N206" s="126"/>
      <c r="O206" s="139">
        <f>M206*12</f>
        <v>10526.16</v>
      </c>
      <c r="T206" s="18"/>
      <c r="V206" s="392">
        <f>((O206*(1-(1+Assumptions!$G$40)^(-1*(G206-Q206))))/Assumptions!$G$40)</f>
        <v>116904.14196144842</v>
      </c>
      <c r="W206" s="392">
        <f>((O206*(1-(1+Assumptions!$G$46)^(-1*(G206-Q206))))/Assumptions!$G$46)</f>
        <v>172791.11112946179</v>
      </c>
      <c r="X206" s="283">
        <f t="shared" si="36"/>
        <v>10526.16</v>
      </c>
      <c r="Y206" s="181">
        <f t="shared" si="36"/>
        <v>10526.16</v>
      </c>
      <c r="Z206" s="181">
        <f t="shared" si="36"/>
        <v>10526.16</v>
      </c>
      <c r="AA206" s="284">
        <f>((X206*(1-(1+Assumptions!$H$40)^(-1*(G206-Q206))))/Assumptions!$H$40)</f>
        <v>116904.14196144842</v>
      </c>
      <c r="AB206" s="284">
        <f>((Y206*(1-(1+Assumptions!$I$40)^(-1*(G206-Q206))))/Assumptions!$I$40)</f>
        <v>116904.14196144842</v>
      </c>
      <c r="AC206" s="285">
        <f>((Z206*(1-(1+Assumptions!$J$40)^(-1*(G206-Q206))))/Assumptions!$J$40)</f>
        <v>116904.14196144842</v>
      </c>
      <c r="AD206" s="148">
        <f>((X206*(1-(1+Assumptions!$H$46)^(-1*(G206-Q206))))/Assumptions!$H$46)</f>
        <v>172791.11112946179</v>
      </c>
      <c r="AE206" s="148">
        <f>((Y206*(1-(1+Assumptions!$I$46)^(-1*(G206-Q206))))/Assumptions!$I$46)</f>
        <v>172791.11112946179</v>
      </c>
      <c r="AF206" s="148">
        <f>((Z206*(1-(1+Assumptions!$J$46)^(-1*(G206-Q206))))/Assumptions!$J$46)</f>
        <v>172791.11112946179</v>
      </c>
      <c r="AG206" s="145">
        <v>37134</v>
      </c>
      <c r="AH206" s="148">
        <f>((AI206*(1-(1+Assumptions!$M$40)^(-1*(G206-Q206))))/Assumptions!$M$40)</f>
        <v>189779.77311445703</v>
      </c>
      <c r="AI206" s="419">
        <f>M206*12</f>
        <v>10526.16</v>
      </c>
      <c r="AJ206" s="148">
        <f>((AI206*(1-(1+Assumptions!$L$40)^(-1*(G206-Q206))))/Assumptions!$L$40)</f>
        <v>116904.14196144842</v>
      </c>
      <c r="AK206" s="148">
        <f>((AI206*(1-(1+Assumptions!$L$46)^(-1*(G206-Q206))))/Assumptions!$L$46)</f>
        <v>172791.11112946179</v>
      </c>
      <c r="AL206" s="148"/>
      <c r="AM206" s="180" t="s">
        <v>243</v>
      </c>
      <c r="AN206" s="3"/>
      <c r="AO206" s="108"/>
      <c r="AP206" s="104"/>
      <c r="AQ206" s="114"/>
      <c r="AR206" s="116"/>
    </row>
    <row r="207" spans="1:44" x14ac:dyDescent="0.2">
      <c r="C207" s="266"/>
      <c r="M207" s="241"/>
      <c r="N207" s="126"/>
      <c r="O207" s="143"/>
      <c r="T207" s="18"/>
      <c r="V207" s="277"/>
      <c r="W207" s="277"/>
      <c r="X207" s="295"/>
      <c r="Y207" s="293"/>
      <c r="Z207" s="293"/>
      <c r="AA207" s="293"/>
      <c r="AB207" s="293"/>
      <c r="AC207" s="294"/>
      <c r="AD207" s="284"/>
      <c r="AE207" s="284"/>
      <c r="AF207" s="284"/>
      <c r="AG207" s="145"/>
      <c r="AH207" s="84"/>
      <c r="AI207" s="423"/>
      <c r="AJ207" s="84"/>
      <c r="AK207" s="84"/>
      <c r="AL207" s="84"/>
      <c r="AM207" s="3"/>
      <c r="AN207" s="3"/>
      <c r="AO207" s="104"/>
      <c r="AP207" s="104"/>
      <c r="AQ207" s="114"/>
      <c r="AR207" s="116"/>
    </row>
    <row r="208" spans="1:44" x14ac:dyDescent="0.2">
      <c r="D208" s="20" t="s">
        <v>40</v>
      </c>
      <c r="E208" s="103"/>
      <c r="F208" s="103"/>
      <c r="G208" s="20"/>
      <c r="M208" s="241"/>
      <c r="N208" s="126"/>
      <c r="O208" s="143"/>
      <c r="P208" s="214"/>
      <c r="S208" s="214"/>
      <c r="T208" s="2"/>
      <c r="V208" s="277"/>
      <c r="W208" s="277"/>
      <c r="X208" s="299"/>
      <c r="Y208" s="284"/>
      <c r="Z208" s="284"/>
      <c r="AA208" s="284"/>
      <c r="AB208" s="284"/>
      <c r="AC208" s="285"/>
      <c r="AD208" s="148"/>
      <c r="AE208" s="148"/>
      <c r="AF208" s="148"/>
      <c r="AG208" s="145"/>
      <c r="AH208" s="84"/>
      <c r="AI208" s="423"/>
      <c r="AJ208" s="84"/>
      <c r="AK208" s="84"/>
      <c r="AL208" s="84"/>
      <c r="AM208" s="3"/>
      <c r="AN208" s="3"/>
      <c r="AO208" s="104"/>
      <c r="AP208" s="104"/>
      <c r="AQ208" s="114"/>
      <c r="AR208" s="116"/>
    </row>
    <row r="209" spans="1:44" x14ac:dyDescent="0.2">
      <c r="F209" s="105"/>
      <c r="G209" s="205"/>
      <c r="H209" s="105"/>
      <c r="J209" s="205" t="s">
        <v>241</v>
      </c>
      <c r="K209" s="205"/>
      <c r="L209" s="206"/>
      <c r="M209" s="248" t="s">
        <v>38</v>
      </c>
      <c r="N209" s="133"/>
      <c r="O209" s="141"/>
      <c r="P209" s="205" t="s">
        <v>36</v>
      </c>
      <c r="R209" s="3" t="s">
        <v>78</v>
      </c>
      <c r="S209" s="205"/>
      <c r="V209" s="277"/>
      <c r="W209" s="277"/>
      <c r="X209" s="299"/>
      <c r="Y209" s="284"/>
      <c r="Z209" s="284"/>
      <c r="AA209" s="284"/>
      <c r="AB209" s="284"/>
      <c r="AC209" s="285"/>
      <c r="AD209" s="148"/>
      <c r="AE209" s="148"/>
      <c r="AF209" s="148"/>
      <c r="AG209" s="145"/>
      <c r="AH209" s="87"/>
      <c r="AI209" s="421"/>
      <c r="AJ209" s="87"/>
      <c r="AK209" s="87"/>
      <c r="AL209" s="87"/>
      <c r="AM209" s="205"/>
      <c r="AN209" s="18"/>
      <c r="AO209" s="105"/>
      <c r="AP209" s="104"/>
      <c r="AQ209" s="114"/>
      <c r="AR209" s="116"/>
    </row>
    <row r="210" spans="1:44" x14ac:dyDescent="0.2">
      <c r="C210" s="205" t="s">
        <v>33</v>
      </c>
      <c r="D210" s="262" t="s">
        <v>83</v>
      </c>
      <c r="E210" s="262"/>
      <c r="F210" s="105"/>
      <c r="G210" s="205"/>
      <c r="H210" s="105"/>
      <c r="J210" s="205"/>
      <c r="K210" s="205"/>
      <c r="L210" s="206"/>
      <c r="M210" s="250" t="s">
        <v>32</v>
      </c>
      <c r="N210" s="135"/>
      <c r="O210" s="142"/>
      <c r="P210" s="205" t="s">
        <v>30</v>
      </c>
      <c r="R210" s="3" t="s">
        <v>79</v>
      </c>
      <c r="V210" s="277"/>
      <c r="W210" s="277"/>
      <c r="X210" s="290"/>
      <c r="Y210" s="281"/>
      <c r="Z210" s="281"/>
      <c r="AA210" s="281"/>
      <c r="AB210" s="281"/>
      <c r="AC210" s="282"/>
      <c r="AD210" s="284"/>
      <c r="AE210" s="284"/>
      <c r="AF210" s="284"/>
      <c r="AG210" s="145"/>
      <c r="AH210" s="89"/>
      <c r="AI210" s="422"/>
      <c r="AJ210" s="89"/>
      <c r="AK210" s="89"/>
      <c r="AL210" s="89"/>
      <c r="AM210" s="205"/>
      <c r="AN210" s="18"/>
      <c r="AO210" s="105"/>
      <c r="AP210" s="104"/>
      <c r="AQ210" s="114"/>
      <c r="AR210" s="116"/>
    </row>
    <row r="211" spans="1:44" x14ac:dyDescent="0.2">
      <c r="A211" s="3" t="s">
        <v>108</v>
      </c>
      <c r="B211" s="3">
        <v>159</v>
      </c>
      <c r="C211" s="204" t="s">
        <v>533</v>
      </c>
      <c r="D211" s="263" t="s">
        <v>491</v>
      </c>
      <c r="E211" s="262"/>
      <c r="F211" s="105" t="s">
        <v>6</v>
      </c>
      <c r="G211" s="5">
        <f>IF(F211="f",Assumptions!$E$39,Assumptions!$E$38)</f>
        <v>81.8</v>
      </c>
      <c r="H211" s="118">
        <v>16364</v>
      </c>
      <c r="J211" s="303">
        <v>36951</v>
      </c>
      <c r="K211" s="205"/>
      <c r="L211" s="206"/>
      <c r="M211" s="250">
        <v>143.62</v>
      </c>
      <c r="N211" s="135"/>
      <c r="O211" s="139">
        <f t="shared" ref="O211:O218" si="37">M211*12</f>
        <v>1723.44</v>
      </c>
      <c r="P211" s="205"/>
      <c r="V211" s="392">
        <f>((O211*(1-(1+Assumptions!$G$40)^(-1*(G211-Q211))))/Assumptions!$G$40)</f>
        <v>19132.71198973191</v>
      </c>
      <c r="W211" s="392">
        <f>((O211*(1-(1+Assumptions!$G$46)^(-1*(G211-Q211))))/Assumptions!$G$46)</f>
        <v>28208.50350533018</v>
      </c>
      <c r="X211" s="283">
        <f t="shared" ref="X211:Z218" si="38">$M211*12</f>
        <v>1723.44</v>
      </c>
      <c r="Y211" s="181">
        <f t="shared" si="38"/>
        <v>1723.44</v>
      </c>
      <c r="Z211" s="181">
        <f t="shared" si="38"/>
        <v>1723.44</v>
      </c>
      <c r="AA211" s="284">
        <f>((X211*(1-(1+Assumptions!$H$40)^(-1*(G211-Q211))))/Assumptions!$H$40)</f>
        <v>19132.71198973191</v>
      </c>
      <c r="AB211" s="284">
        <f>((Y211*(1-(1+Assumptions!$I$40)^(-1*(G211-Q211))))/Assumptions!$I$40)</f>
        <v>19132.71198973191</v>
      </c>
      <c r="AC211" s="285">
        <f>((Z211*(1-(1+Assumptions!$J$40)^(-1*(G211-Q211))))/Assumptions!$J$40)</f>
        <v>19132.71198973191</v>
      </c>
      <c r="AD211" s="148">
        <f>((X211*(1-(1+Assumptions!$H$46)^(-1*(G211-Q211))))/Assumptions!$H$46)</f>
        <v>28208.50350533018</v>
      </c>
      <c r="AE211" s="148">
        <f>((Y211*(1-(1+Assumptions!$I$46)^(-1*(G211-Q211))))/Assumptions!$I$46)</f>
        <v>28208.50350533018</v>
      </c>
      <c r="AF211" s="148">
        <f>((Z211*(1-(1+Assumptions!$J$46)^(-1*(G211-Q211))))/Assumptions!$J$46)</f>
        <v>28208.50350533018</v>
      </c>
      <c r="AG211" s="145">
        <v>37134</v>
      </c>
      <c r="AH211" s="148">
        <f>((AI211*(1-(1+Assumptions!$M$40)^(-1*(G211-Q211))))/Assumptions!$M$40)</f>
        <v>30942.643811349575</v>
      </c>
      <c r="AI211" s="419">
        <f t="shared" ref="AI211:AI218" si="39">M211*12</f>
        <v>1723.44</v>
      </c>
      <c r="AJ211" s="148">
        <f>((AI211*(1-(1+Assumptions!$L$40)^(-1*(G211-Q211))))/Assumptions!$L$40)</f>
        <v>19132.71198973191</v>
      </c>
      <c r="AK211" s="148">
        <f>((AI211*(1-(1+Assumptions!$L$46)^(-1*(G211-Q211))))/Assumptions!$L$46)</f>
        <v>28208.50350533018</v>
      </c>
      <c r="AL211" s="148"/>
      <c r="AM211" s="204" t="s">
        <v>243</v>
      </c>
      <c r="AN211" s="18"/>
      <c r="AO211" s="118"/>
      <c r="AP211" s="104"/>
      <c r="AQ211" s="114"/>
      <c r="AR211" s="116"/>
    </row>
    <row r="212" spans="1:44" x14ac:dyDescent="0.2">
      <c r="A212" s="3" t="s">
        <v>108</v>
      </c>
      <c r="B212" s="3">
        <f>SUM(B211+1)</f>
        <v>160</v>
      </c>
      <c r="C212" s="204" t="s">
        <v>533</v>
      </c>
      <c r="D212" s="263" t="s">
        <v>492</v>
      </c>
      <c r="E212" s="262"/>
      <c r="F212" s="105" t="s">
        <v>6</v>
      </c>
      <c r="G212" s="5">
        <f>IF(F212="f",Assumptions!$E$39,Assumptions!$E$38)</f>
        <v>81.8</v>
      </c>
      <c r="H212" s="118">
        <v>12636</v>
      </c>
      <c r="J212" s="209">
        <v>36312</v>
      </c>
      <c r="K212" s="205"/>
      <c r="L212" s="206"/>
      <c r="M212" s="250">
        <v>212.19</v>
      </c>
      <c r="N212" s="135"/>
      <c r="O212" s="139">
        <f t="shared" si="37"/>
        <v>2546.2799999999997</v>
      </c>
      <c r="P212" s="205"/>
      <c r="V212" s="392">
        <f>((O212*(1-(1+Assumptions!$G$40)^(-1*(G212-Q212))))/Assumptions!$G$40)</f>
        <v>28267.442954332364</v>
      </c>
      <c r="W212" s="392">
        <f>((O212*(1-(1+Assumptions!$G$46)^(-1*(G212-Q212))))/Assumptions!$G$46)</f>
        <v>41676.384617713484</v>
      </c>
      <c r="X212" s="283">
        <f t="shared" si="38"/>
        <v>2546.2799999999997</v>
      </c>
      <c r="Y212" s="181">
        <f t="shared" si="38"/>
        <v>2546.2799999999997</v>
      </c>
      <c r="Z212" s="181">
        <f t="shared" si="38"/>
        <v>2546.2799999999997</v>
      </c>
      <c r="AA212" s="284">
        <f>((X212*(1-(1+Assumptions!$H$40)^(-1*(G212-Q212))))/Assumptions!$H$40)</f>
        <v>28267.442954332364</v>
      </c>
      <c r="AB212" s="284">
        <f>((Y212*(1-(1+Assumptions!$I$40)^(-1*(G212-Q212))))/Assumptions!$I$40)</f>
        <v>28267.442954332364</v>
      </c>
      <c r="AC212" s="285">
        <f>((Z212*(1-(1+Assumptions!$J$40)^(-1*(G212-Q212))))/Assumptions!$J$40)</f>
        <v>28267.442954332364</v>
      </c>
      <c r="AD212" s="148">
        <f>((X212*(1-(1+Assumptions!$H$46)^(-1*(G212-Q212))))/Assumptions!$H$46)</f>
        <v>41676.384617713484</v>
      </c>
      <c r="AE212" s="148">
        <f>((Y212*(1-(1+Assumptions!$I$46)^(-1*(G212-Q212))))/Assumptions!$I$46)</f>
        <v>41676.384617713484</v>
      </c>
      <c r="AF212" s="148">
        <f>((Z212*(1-(1+Assumptions!$J$46)^(-1*(G212-Q212))))/Assumptions!$J$46)</f>
        <v>41676.384617713484</v>
      </c>
      <c r="AG212" s="145">
        <v>37134</v>
      </c>
      <c r="AH212" s="148">
        <f>((AI212*(1-(1+Assumptions!$M$40)^(-1*(G212-Q212))))/Assumptions!$M$40)</f>
        <v>45715.914150746867</v>
      </c>
      <c r="AI212" s="419">
        <f t="shared" si="39"/>
        <v>2546.2799999999997</v>
      </c>
      <c r="AJ212" s="148">
        <f>((AI212*(1-(1+Assumptions!$L$40)^(-1*(G212-Q212))))/Assumptions!$L$40)</f>
        <v>28267.442954332364</v>
      </c>
      <c r="AK212" s="148">
        <f>((AI212*(1-(1+Assumptions!$L$46)^(-1*(G212-Q212))))/Assumptions!$L$46)</f>
        <v>41676.384617713484</v>
      </c>
      <c r="AL212" s="148"/>
      <c r="AM212" s="204" t="s">
        <v>81</v>
      </c>
      <c r="AN212" s="18"/>
      <c r="AO212" s="118"/>
      <c r="AP212" s="104"/>
      <c r="AQ212" s="114"/>
      <c r="AR212" s="116"/>
    </row>
    <row r="213" spans="1:44" x14ac:dyDescent="0.2">
      <c r="A213" s="3" t="s">
        <v>108</v>
      </c>
      <c r="B213" s="3">
        <f t="shared" ref="B213:B218" si="40">SUM(B212+1)</f>
        <v>161</v>
      </c>
      <c r="C213" s="204" t="s">
        <v>22</v>
      </c>
      <c r="D213" s="263" t="s">
        <v>493</v>
      </c>
      <c r="F213" s="105" t="s">
        <v>5</v>
      </c>
      <c r="G213" s="5">
        <f>IF(F213="f",Assumptions!$E$39,Assumptions!$E$38)</f>
        <v>89.3</v>
      </c>
      <c r="H213" s="108">
        <v>11272</v>
      </c>
      <c r="J213" s="193">
        <v>33848</v>
      </c>
      <c r="K213" s="202"/>
      <c r="L213" s="203"/>
      <c r="M213" s="241">
        <v>533.17999999999995</v>
      </c>
      <c r="N213" s="126"/>
      <c r="O213" s="139">
        <f t="shared" si="37"/>
        <v>6398.16</v>
      </c>
      <c r="P213" s="34"/>
      <c r="V213" s="392">
        <f>((O213*(1-(1+Assumptions!$G$40)^(-1*(G213-Q213))))/Assumptions!$G$40)</f>
        <v>71058.335131905726</v>
      </c>
      <c r="W213" s="392">
        <f>((O213*(1-(1+Assumptions!$G$46)^(-1*(G213-Q213))))/Assumptions!$G$46)</f>
        <v>105028.34610000961</v>
      </c>
      <c r="X213" s="283">
        <f t="shared" si="38"/>
        <v>6398.16</v>
      </c>
      <c r="Y213" s="181">
        <f t="shared" si="38"/>
        <v>6398.16</v>
      </c>
      <c r="Z213" s="181">
        <f t="shared" si="38"/>
        <v>6398.16</v>
      </c>
      <c r="AA213" s="284">
        <f>((X213*(1-(1+Assumptions!$H$40)^(-1*(G213-Q213))))/Assumptions!$H$40)</f>
        <v>71058.335131905726</v>
      </c>
      <c r="AB213" s="284">
        <f>((Y213*(1-(1+Assumptions!$I$40)^(-1*(G213-Q213))))/Assumptions!$I$40)</f>
        <v>71058.335131905726</v>
      </c>
      <c r="AC213" s="285">
        <f>((Z213*(1-(1+Assumptions!$J$40)^(-1*(G213-Q213))))/Assumptions!$J$40)</f>
        <v>71058.335131905726</v>
      </c>
      <c r="AD213" s="148">
        <f>((X213*(1-(1+Assumptions!$H$46)^(-1*(G213-Q213))))/Assumptions!$H$46)</f>
        <v>105028.34610000961</v>
      </c>
      <c r="AE213" s="148">
        <f>((Y213*(1-(1+Assumptions!$I$46)^(-1*(G213-Q213))))/Assumptions!$I$46)</f>
        <v>105028.34610000961</v>
      </c>
      <c r="AF213" s="148">
        <f>((Z213*(1-(1+Assumptions!$J$46)^(-1*(G213-Q213))))/Assumptions!$J$46)</f>
        <v>105028.34610000961</v>
      </c>
      <c r="AG213" s="145">
        <v>37134</v>
      </c>
      <c r="AH213" s="148">
        <f>((AI213*(1-(1+Assumptions!$M$40)^(-1*(G213-Q213))))/Assumptions!$M$40)</f>
        <v>115354.63579785927</v>
      </c>
      <c r="AI213" s="419">
        <f t="shared" si="39"/>
        <v>6398.16</v>
      </c>
      <c r="AJ213" s="148">
        <f>((AI213*(1-(1+Assumptions!$L$40)^(-1*(G213-Q213))))/Assumptions!$L$40)</f>
        <v>71058.335131905726</v>
      </c>
      <c r="AK213" s="148">
        <f>((AI213*(1-(1+Assumptions!$L$46)^(-1*(G213-Q213))))/Assumptions!$L$46)</f>
        <v>105028.34610000961</v>
      </c>
      <c r="AL213" s="148"/>
      <c r="AM213" s="3" t="s">
        <v>81</v>
      </c>
      <c r="AN213" s="18"/>
      <c r="AO213" s="108"/>
      <c r="AP213" s="104"/>
      <c r="AQ213" s="114"/>
      <c r="AR213" s="116"/>
    </row>
    <row r="214" spans="1:44" x14ac:dyDescent="0.2">
      <c r="A214" s="3" t="s">
        <v>108</v>
      </c>
      <c r="B214" s="3">
        <f t="shared" si="40"/>
        <v>162</v>
      </c>
      <c r="C214" s="204" t="s">
        <v>22</v>
      </c>
      <c r="D214" s="263" t="s">
        <v>494</v>
      </c>
      <c r="F214" s="110" t="s">
        <v>5</v>
      </c>
      <c r="G214" s="5">
        <f>IF(F214="f",Assumptions!$E$39,Assumptions!$E$38)</f>
        <v>89.3</v>
      </c>
      <c r="H214" s="120">
        <v>12818</v>
      </c>
      <c r="J214" s="30">
        <v>36495</v>
      </c>
      <c r="K214" s="31"/>
      <c r="L214" s="98"/>
      <c r="M214" s="249">
        <v>139.47999999999999</v>
      </c>
      <c r="N214" s="134"/>
      <c r="O214" s="139">
        <f t="shared" si="37"/>
        <v>1673.7599999999998</v>
      </c>
      <c r="P214" s="36">
        <v>5.0833000000000004</v>
      </c>
      <c r="R214" s="19">
        <v>65</v>
      </c>
      <c r="V214" s="392">
        <f>((O214*(1-(1+Assumptions!$G$40)^(-1*(G214-Q214))))/Assumptions!$G$40)</f>
        <v>18588.875397048294</v>
      </c>
      <c r="W214" s="392">
        <f>((O214*(1-(1+Assumptions!$G$46)^(-1*(G214-Q214))))/Assumptions!$G$46)</f>
        <v>27475.437402058102</v>
      </c>
      <c r="X214" s="283">
        <f t="shared" si="38"/>
        <v>1673.7599999999998</v>
      </c>
      <c r="Y214" s="181">
        <f t="shared" si="38"/>
        <v>1673.7599999999998</v>
      </c>
      <c r="Z214" s="181">
        <f t="shared" si="38"/>
        <v>1673.7599999999998</v>
      </c>
      <c r="AA214" s="284">
        <f>((X214*(1-(1+Assumptions!$H$40)^(-1*(G214-Q214))))/Assumptions!$H$40)</f>
        <v>18588.875397048294</v>
      </c>
      <c r="AB214" s="284">
        <f>((Y214*(1-(1+Assumptions!$I$40)^(-1*(G214-Q214))))/Assumptions!$I$40)</f>
        <v>18588.875397048294</v>
      </c>
      <c r="AC214" s="285">
        <f>((Z214*(1-(1+Assumptions!$J$40)^(-1*(G214-Q214))))/Assumptions!$J$40)</f>
        <v>18588.875397048294</v>
      </c>
      <c r="AD214" s="148">
        <f>((X214*(1-(1+Assumptions!$H$46)^(-1*(G214-Q214))))/Assumptions!$H$46)</f>
        <v>27475.437402058102</v>
      </c>
      <c r="AE214" s="148">
        <f>((Y214*(1-(1+Assumptions!$I$46)^(-1*(G214-Q214))))/Assumptions!$I$46)</f>
        <v>27475.437402058102</v>
      </c>
      <c r="AF214" s="148">
        <f>((Z214*(1-(1+Assumptions!$J$46)^(-1*(G214-Q214))))/Assumptions!$J$46)</f>
        <v>27475.437402058102</v>
      </c>
      <c r="AG214" s="145">
        <v>37134</v>
      </c>
      <c r="AH214" s="148">
        <f>((AI214*(1-(1+Assumptions!$M$40)^(-1*(G214-Q214))))/Assumptions!$M$40)</f>
        <v>30176.79695616004</v>
      </c>
      <c r="AI214" s="419">
        <f t="shared" si="39"/>
        <v>1673.7599999999998</v>
      </c>
      <c r="AJ214" s="148">
        <f>((AI214*(1-(1+Assumptions!$L$40)^(-1*(G214-Q214))))/Assumptions!$L$40)</f>
        <v>18588.875397048294</v>
      </c>
      <c r="AK214" s="148">
        <f>((AI214*(1-(1+Assumptions!$L$46)^(-1*(G214-Q214))))/Assumptions!$L$46)</f>
        <v>27475.437402058102</v>
      </c>
      <c r="AL214" s="148"/>
      <c r="AM214" s="8" t="s">
        <v>81</v>
      </c>
      <c r="AN214" s="18"/>
      <c r="AO214" s="120"/>
      <c r="AP214" s="104"/>
      <c r="AQ214" s="114"/>
      <c r="AR214" s="116"/>
    </row>
    <row r="215" spans="1:44" x14ac:dyDescent="0.2">
      <c r="A215" s="3" t="s">
        <v>108</v>
      </c>
      <c r="B215" s="3">
        <f t="shared" si="40"/>
        <v>163</v>
      </c>
      <c r="C215" s="204" t="s">
        <v>22</v>
      </c>
      <c r="D215" s="263" t="s">
        <v>495</v>
      </c>
      <c r="F215" s="105" t="s">
        <v>5</v>
      </c>
      <c r="G215" s="5">
        <f>IF(F215="f",Assumptions!$E$39,Assumptions!$E$38)</f>
        <v>89.3</v>
      </c>
      <c r="H215" s="108">
        <v>7196</v>
      </c>
      <c r="J215" s="193">
        <v>30864</v>
      </c>
      <c r="K215" s="202"/>
      <c r="L215" s="203"/>
      <c r="M215" s="241">
        <v>97.94</v>
      </c>
      <c r="N215" s="126"/>
      <c r="O215" s="139">
        <f t="shared" si="37"/>
        <v>1175.28</v>
      </c>
      <c r="P215" s="34"/>
      <c r="V215" s="392">
        <f>((O215*(1-(1+Assumptions!$G$40)^(-1*(G215-Q215))))/Assumptions!$G$40)</f>
        <v>13052.727676992474</v>
      </c>
      <c r="W215" s="392">
        <f>((O215*(1-(1+Assumptions!$G$46)^(-1*(G215-Q215))))/Assumptions!$G$46)</f>
        <v>19292.68955518763</v>
      </c>
      <c r="X215" s="283">
        <f t="shared" si="38"/>
        <v>1175.28</v>
      </c>
      <c r="Y215" s="181">
        <f t="shared" si="38"/>
        <v>1175.28</v>
      </c>
      <c r="Z215" s="181">
        <f t="shared" si="38"/>
        <v>1175.28</v>
      </c>
      <c r="AA215" s="284">
        <f>((X215*(1-(1+Assumptions!$H$40)^(-1*(G215-Q215))))/Assumptions!$H$40)</f>
        <v>13052.727676992474</v>
      </c>
      <c r="AB215" s="284">
        <f>((Y215*(1-(1+Assumptions!$I$40)^(-1*(G215-Q215))))/Assumptions!$I$40)</f>
        <v>13052.727676992474</v>
      </c>
      <c r="AC215" s="285">
        <f>((Z215*(1-(1+Assumptions!$J$40)^(-1*(G215-Q215))))/Assumptions!$J$40)</f>
        <v>13052.727676992474</v>
      </c>
      <c r="AD215" s="148">
        <f>((X215*(1-(1+Assumptions!$H$46)^(-1*(G215-Q215))))/Assumptions!$H$46)</f>
        <v>19292.68955518763</v>
      </c>
      <c r="AE215" s="148">
        <f>((Y215*(1-(1+Assumptions!$I$46)^(-1*(G215-Q215))))/Assumptions!$I$46)</f>
        <v>19292.68955518763</v>
      </c>
      <c r="AF215" s="148">
        <f>((Z215*(1-(1+Assumptions!$J$46)^(-1*(G215-Q215))))/Assumptions!$J$46)</f>
        <v>19292.68955518763</v>
      </c>
      <c r="AG215" s="145">
        <v>37134</v>
      </c>
      <c r="AH215" s="148">
        <f>((AI215*(1-(1+Assumptions!$M$40)^(-1*(G215-Q215))))/Assumptions!$M$40)</f>
        <v>21189.528920894139</v>
      </c>
      <c r="AI215" s="419">
        <f t="shared" si="39"/>
        <v>1175.28</v>
      </c>
      <c r="AJ215" s="148">
        <f>((AI215*(1-(1+Assumptions!$L$40)^(-1*(G215-Q215))))/Assumptions!$L$40)</f>
        <v>13052.727676992474</v>
      </c>
      <c r="AK215" s="148">
        <f>((AI215*(1-(1+Assumptions!$L$46)^(-1*(G215-Q215))))/Assumptions!$L$46)</f>
        <v>19292.68955518763</v>
      </c>
      <c r="AL215" s="148"/>
      <c r="AM215" s="3" t="s">
        <v>81</v>
      </c>
      <c r="AN215" s="18"/>
      <c r="AO215" s="108"/>
      <c r="AP215" s="104"/>
      <c r="AQ215" s="114"/>
      <c r="AR215" s="116"/>
    </row>
    <row r="216" spans="1:44" x14ac:dyDescent="0.2">
      <c r="A216" s="3" t="s">
        <v>108</v>
      </c>
      <c r="B216" s="3">
        <f t="shared" si="40"/>
        <v>164</v>
      </c>
      <c r="C216" s="204" t="s">
        <v>533</v>
      </c>
      <c r="D216" s="263" t="s">
        <v>496</v>
      </c>
      <c r="E216" s="256" t="s">
        <v>510</v>
      </c>
      <c r="F216" s="105" t="s">
        <v>6</v>
      </c>
      <c r="G216" s="5">
        <f>IF(F216="f",Assumptions!$E$39,Assumptions!$E$38)</f>
        <v>81.8</v>
      </c>
      <c r="H216" s="119">
        <v>12889</v>
      </c>
      <c r="J216" s="214">
        <f>DATE(90,2,1)</f>
        <v>32905</v>
      </c>
      <c r="K216" s="215"/>
      <c r="L216" s="216"/>
      <c r="M216" s="249">
        <v>1000</v>
      </c>
      <c r="N216" s="134"/>
      <c r="O216" s="139">
        <f t="shared" si="37"/>
        <v>12000</v>
      </c>
      <c r="P216" s="32" t="s">
        <v>28</v>
      </c>
      <c r="R216" s="205" t="s">
        <v>29</v>
      </c>
      <c r="V216" s="392">
        <f>((O216*(1-(1+Assumptions!$G$40)^(-1*(G216-Q216))))/Assumptions!$G$40)</f>
        <v>133217.60193379692</v>
      </c>
      <c r="W216" s="392">
        <f>((O216*(1-(1+Assumptions!$G$46)^(-1*(G216-Q216))))/Assumptions!$G$46)</f>
        <v>196410.69144499497</v>
      </c>
      <c r="X216" s="283">
        <f t="shared" si="38"/>
        <v>12000</v>
      </c>
      <c r="Y216" s="181">
        <f t="shared" si="38"/>
        <v>12000</v>
      </c>
      <c r="Z216" s="181">
        <f t="shared" si="38"/>
        <v>12000</v>
      </c>
      <c r="AA216" s="284">
        <f>((X216*(1-(1+Assumptions!$H$40)^(-1*(G216-Q216))))/Assumptions!$H$40)</f>
        <v>133217.60193379692</v>
      </c>
      <c r="AB216" s="284">
        <f>((Y216*(1-(1+Assumptions!$I$40)^(-1*(G216-Q216))))/Assumptions!$I$40)</f>
        <v>133217.60193379692</v>
      </c>
      <c r="AC216" s="285">
        <f>((Z216*(1-(1+Assumptions!$J$40)^(-1*(G216-Q216))))/Assumptions!$J$40)</f>
        <v>133217.60193379692</v>
      </c>
      <c r="AD216" s="148">
        <f>((X216*(1-(1+Assumptions!$H$46)^(-1*(G216-Q216))))/Assumptions!$H$46)</f>
        <v>196410.69144499497</v>
      </c>
      <c r="AE216" s="148">
        <f>((Y216*(1-(1+Assumptions!$I$46)^(-1*(G216-Q216))))/Assumptions!$I$46)</f>
        <v>196410.69144499497</v>
      </c>
      <c r="AF216" s="148">
        <f>((Z216*(1-(1+Assumptions!$J$46)^(-1*(G216-Q216))))/Assumptions!$J$46)</f>
        <v>196410.69144499497</v>
      </c>
      <c r="AG216" s="145">
        <v>37134</v>
      </c>
      <c r="AH216" s="148">
        <f>((AI216*(1-(1+Assumptions!$M$40)^(-1*(G216-Q216))))/Assumptions!$M$40)</f>
        <v>215448.01428317488</v>
      </c>
      <c r="AI216" s="419">
        <f t="shared" si="39"/>
        <v>12000</v>
      </c>
      <c r="AJ216" s="148">
        <f>((AI216*(1-(1+Assumptions!$L$40)^(-1*(G216-Q216))))/Assumptions!$L$40)</f>
        <v>133217.60193379692</v>
      </c>
      <c r="AK216" s="148">
        <f>((AI216*(1-(1+Assumptions!$L$46)^(-1*(G216-Q216))))/Assumptions!$L$46)</f>
        <v>196410.69144499497</v>
      </c>
      <c r="AL216" s="148"/>
      <c r="AM216" s="204" t="s">
        <v>27</v>
      </c>
      <c r="AN216" s="2"/>
      <c r="AO216" s="119"/>
      <c r="AP216" s="104"/>
      <c r="AQ216" s="114"/>
      <c r="AR216" s="116"/>
    </row>
    <row r="217" spans="1:44" x14ac:dyDescent="0.2">
      <c r="A217" s="3" t="s">
        <v>108</v>
      </c>
      <c r="B217" s="3">
        <f t="shared" si="40"/>
        <v>165</v>
      </c>
      <c r="C217" s="204" t="s">
        <v>22</v>
      </c>
      <c r="D217" s="263" t="s">
        <v>497</v>
      </c>
      <c r="E217" s="263" t="s">
        <v>511</v>
      </c>
      <c r="F217" s="105" t="s">
        <v>6</v>
      </c>
      <c r="G217" s="5">
        <f>IF(F217="f",Assumptions!$E$39,Assumptions!$E$38)</f>
        <v>81.8</v>
      </c>
      <c r="H217" s="119">
        <v>11054</v>
      </c>
      <c r="J217" s="214">
        <f>DATE(95,2,1)</f>
        <v>34731</v>
      </c>
      <c r="K217" s="215"/>
      <c r="L217" s="216"/>
      <c r="M217" s="249">
        <v>286.08999999999997</v>
      </c>
      <c r="N217" s="134"/>
      <c r="O217" s="139">
        <f t="shared" si="37"/>
        <v>3433.08</v>
      </c>
      <c r="P217" s="32" t="s">
        <v>25</v>
      </c>
      <c r="R217" s="205" t="s">
        <v>26</v>
      </c>
      <c r="V217" s="392">
        <f>((O217*(1-(1+Assumptions!$G$40)^(-1*(G217-Q217))))/Assumptions!$G$40)</f>
        <v>38112.223737239961</v>
      </c>
      <c r="W217" s="392">
        <f>((O217*(1-(1+Assumptions!$G$46)^(-1*(G217-Q217))))/Assumptions!$G$46)</f>
        <v>56191.134715498614</v>
      </c>
      <c r="X217" s="283">
        <f t="shared" si="38"/>
        <v>3433.08</v>
      </c>
      <c r="Y217" s="181">
        <f t="shared" si="38"/>
        <v>3433.08</v>
      </c>
      <c r="Z217" s="181">
        <f t="shared" si="38"/>
        <v>3433.08</v>
      </c>
      <c r="AA217" s="284">
        <f>((X217*(1-(1+Assumptions!$H$40)^(-1*(G217-Q217))))/Assumptions!$H$40)</f>
        <v>38112.223737239961</v>
      </c>
      <c r="AB217" s="284">
        <f>((Y217*(1-(1+Assumptions!$I$40)^(-1*(G217-Q217))))/Assumptions!$I$40)</f>
        <v>38112.223737239961</v>
      </c>
      <c r="AC217" s="285">
        <f>((Z217*(1-(1+Assumptions!$J$40)^(-1*(G217-Q217))))/Assumptions!$J$40)</f>
        <v>38112.223737239961</v>
      </c>
      <c r="AD217" s="148">
        <f>((X217*(1-(1+Assumptions!$H$46)^(-1*(G217-Q217))))/Assumptions!$H$46)</f>
        <v>56191.134715498614</v>
      </c>
      <c r="AE217" s="148">
        <f>((Y217*(1-(1+Assumptions!$I$46)^(-1*(G217-Q217))))/Assumptions!$I$46)</f>
        <v>56191.134715498614</v>
      </c>
      <c r="AF217" s="148">
        <f>((Z217*(1-(1+Assumptions!$J$46)^(-1*(G217-Q217))))/Assumptions!$J$46)</f>
        <v>56191.134715498614</v>
      </c>
      <c r="AG217" s="145">
        <v>37134</v>
      </c>
      <c r="AH217" s="148">
        <f>((AI217*(1-(1+Assumptions!$M$40)^(-1*(G217-Q217))))/Assumptions!$M$40)</f>
        <v>61637.5224062735</v>
      </c>
      <c r="AI217" s="419">
        <f t="shared" si="39"/>
        <v>3433.08</v>
      </c>
      <c r="AJ217" s="148">
        <f>((AI217*(1-(1+Assumptions!$L$40)^(-1*(G217-Q217))))/Assumptions!$L$40)</f>
        <v>38112.223737239961</v>
      </c>
      <c r="AK217" s="148">
        <f>((AI217*(1-(1+Assumptions!$L$46)^(-1*(G217-Q217))))/Assumptions!$L$46)</f>
        <v>56191.134715498614</v>
      </c>
      <c r="AL217" s="148"/>
      <c r="AM217" s="204" t="s">
        <v>24</v>
      </c>
      <c r="AN217" s="18"/>
      <c r="AO217" s="119"/>
      <c r="AP217" s="104"/>
      <c r="AQ217" s="114"/>
      <c r="AR217" s="116"/>
    </row>
    <row r="218" spans="1:44" x14ac:dyDescent="0.2">
      <c r="A218" s="3" t="s">
        <v>108</v>
      </c>
      <c r="B218" s="3">
        <f t="shared" si="40"/>
        <v>166</v>
      </c>
      <c r="C218" s="204" t="s">
        <v>533</v>
      </c>
      <c r="D218" s="263" t="s">
        <v>498</v>
      </c>
      <c r="F218" s="105" t="s">
        <v>5</v>
      </c>
      <c r="G218" s="5">
        <f>IF(F218="f",Assumptions!$E$39,Assumptions!$E$38)</f>
        <v>89.3</v>
      </c>
      <c r="H218" s="119">
        <v>11703</v>
      </c>
      <c r="J218" s="214">
        <f>DATE(96,11,1)</f>
        <v>35370</v>
      </c>
      <c r="K218" s="215"/>
      <c r="L218" s="216"/>
      <c r="M218" s="249">
        <v>971.07</v>
      </c>
      <c r="N218" s="134"/>
      <c r="O218" s="139">
        <f t="shared" si="37"/>
        <v>11652.84</v>
      </c>
      <c r="P218" s="34"/>
      <c r="V218" s="392">
        <f>((O218*(1-(1+Assumptions!$G$40)^(-1*(G218-Q218))))/Assumptions!$G$40)</f>
        <v>129417.11522663959</v>
      </c>
      <c r="W218" s="392">
        <f>((O218*(1-(1+Assumptions!$G$46)^(-1*(G218-Q218))))/Assumptions!$G$46)</f>
        <v>191286.01231729685</v>
      </c>
      <c r="X218" s="283">
        <f t="shared" si="38"/>
        <v>11652.84</v>
      </c>
      <c r="Y218" s="181">
        <f t="shared" si="38"/>
        <v>11652.84</v>
      </c>
      <c r="Z218" s="181">
        <f t="shared" si="38"/>
        <v>11652.84</v>
      </c>
      <c r="AA218" s="284">
        <f>((X218*(1-(1+Assumptions!$H$40)^(-1*(G218-Q218))))/Assumptions!$H$40)</f>
        <v>129417.11522663959</v>
      </c>
      <c r="AB218" s="284">
        <f>((Y218*(1-(1+Assumptions!$I$40)^(-1*(G218-Q218))))/Assumptions!$I$40)</f>
        <v>129417.11522663959</v>
      </c>
      <c r="AC218" s="285">
        <f>((Z218*(1-(1+Assumptions!$J$40)^(-1*(G218-Q218))))/Assumptions!$J$40)</f>
        <v>129417.11522663959</v>
      </c>
      <c r="AD218" s="148">
        <f>((X218*(1-(1+Assumptions!$H$46)^(-1*(G218-Q218))))/Assumptions!$H$46)</f>
        <v>191286.01231729685</v>
      </c>
      <c r="AE218" s="148">
        <f>((Y218*(1-(1+Assumptions!$I$46)^(-1*(G218-Q218))))/Assumptions!$I$46)</f>
        <v>191286.01231729685</v>
      </c>
      <c r="AF218" s="148">
        <f>((Z218*(1-(1+Assumptions!$J$46)^(-1*(G218-Q218))))/Assumptions!$J$46)</f>
        <v>191286.01231729685</v>
      </c>
      <c r="AG218" s="145">
        <v>37134</v>
      </c>
      <c r="AH218" s="148">
        <f>((AI218*(1-(1+Assumptions!$M$40)^(-1*(G218-Q218))))/Assumptions!$M$40)</f>
        <v>210093.07585473428</v>
      </c>
      <c r="AI218" s="419">
        <f t="shared" si="39"/>
        <v>11652.84</v>
      </c>
      <c r="AJ218" s="148">
        <f>((AI218*(1-(1+Assumptions!$L$40)^(-1*(G218-Q218))))/Assumptions!$L$40)</f>
        <v>129417.11522663959</v>
      </c>
      <c r="AK218" s="148">
        <f>((AI218*(1-(1+Assumptions!$L$46)^(-1*(G218-Q218))))/Assumptions!$L$46)</f>
        <v>191286.01231729685</v>
      </c>
      <c r="AL218" s="148"/>
      <c r="AM218" s="3" t="s">
        <v>81</v>
      </c>
      <c r="AN218" s="18"/>
      <c r="AO218" s="119"/>
      <c r="AP218" s="104"/>
      <c r="AQ218" s="114"/>
      <c r="AR218" s="116"/>
    </row>
    <row r="219" spans="1:44" x14ac:dyDescent="0.2">
      <c r="O219" s="195"/>
      <c r="Q219" s="41"/>
      <c r="R219" s="8"/>
      <c r="T219" s="18"/>
      <c r="V219" s="277"/>
      <c r="W219" s="277"/>
      <c r="X219" s="295"/>
      <c r="Y219" s="293"/>
      <c r="Z219" s="293"/>
      <c r="AA219" s="293"/>
      <c r="AB219" s="293"/>
      <c r="AC219" s="294"/>
      <c r="AD219" s="284"/>
      <c r="AE219" s="284"/>
      <c r="AF219" s="284"/>
      <c r="AG219" s="145"/>
      <c r="AH219" s="181"/>
      <c r="AI219" s="412"/>
      <c r="AJ219" s="181"/>
      <c r="AK219" s="181"/>
      <c r="AL219" s="181"/>
      <c r="AM219" s="3"/>
      <c r="AN219" s="3"/>
      <c r="AO219" s="104"/>
      <c r="AP219" s="104"/>
      <c r="AQ219" s="114"/>
      <c r="AR219" s="116"/>
    </row>
    <row r="220" spans="1:44" x14ac:dyDescent="0.2">
      <c r="D220" s="12" t="s">
        <v>21</v>
      </c>
      <c r="E220" s="101"/>
      <c r="F220" s="101"/>
      <c r="G220" s="12"/>
      <c r="O220" s="195"/>
      <c r="Q220" s="41"/>
      <c r="R220" s="8"/>
      <c r="T220" s="18"/>
      <c r="V220" s="277"/>
      <c r="W220" s="277"/>
      <c r="X220" s="299"/>
      <c r="Y220" s="284"/>
      <c r="Z220" s="284"/>
      <c r="AA220" s="284"/>
      <c r="AB220" s="284"/>
      <c r="AC220" s="285"/>
      <c r="AD220" s="148"/>
      <c r="AE220" s="148"/>
      <c r="AF220" s="148"/>
      <c r="AG220" s="145"/>
      <c r="AH220" s="181"/>
      <c r="AI220" s="412"/>
      <c r="AJ220" s="181"/>
      <c r="AK220" s="181"/>
      <c r="AL220" s="181"/>
      <c r="AM220" s="3"/>
      <c r="AN220" s="3"/>
      <c r="AO220" s="104"/>
      <c r="AP220" s="104"/>
      <c r="AQ220" s="114"/>
      <c r="AR220" s="116"/>
    </row>
    <row r="221" spans="1:44" x14ac:dyDescent="0.2">
      <c r="B221" s="69"/>
      <c r="D221" s="260" t="s">
        <v>18</v>
      </c>
      <c r="E221" s="260" t="s">
        <v>20</v>
      </c>
      <c r="F221" s="111"/>
      <c r="G221" s="204"/>
      <c r="J221" s="8" t="s">
        <v>87</v>
      </c>
      <c r="K221" s="183" t="s">
        <v>17</v>
      </c>
      <c r="L221" s="218"/>
      <c r="M221" s="252" t="s">
        <v>19</v>
      </c>
      <c r="N221" s="137"/>
      <c r="O221" s="220"/>
      <c r="R221" s="8"/>
      <c r="T221" s="18"/>
      <c r="V221" s="277"/>
      <c r="W221" s="277"/>
      <c r="X221" s="290"/>
      <c r="Y221" s="281"/>
      <c r="Z221" s="281"/>
      <c r="AA221" s="281"/>
      <c r="AB221" s="281"/>
      <c r="AC221" s="282"/>
      <c r="AD221" s="284"/>
      <c r="AE221" s="284"/>
      <c r="AF221" s="284"/>
      <c r="AG221" s="145"/>
      <c r="AH221" s="219"/>
      <c r="AI221" s="424"/>
      <c r="AJ221" s="219"/>
      <c r="AK221" s="219"/>
      <c r="AL221" s="219"/>
      <c r="AM221" s="190" t="s">
        <v>88</v>
      </c>
      <c r="AN221" s="3"/>
      <c r="AO221" s="104"/>
      <c r="AP221" s="104"/>
      <c r="AQ221" s="114"/>
      <c r="AR221" s="116"/>
    </row>
    <row r="222" spans="1:44" x14ac:dyDescent="0.2">
      <c r="A222" s="3" t="s">
        <v>109</v>
      </c>
      <c r="B222" s="183">
        <f>B218+1</f>
        <v>167</v>
      </c>
      <c r="D222" s="263" t="s">
        <v>499</v>
      </c>
      <c r="E222" s="263" t="s">
        <v>512</v>
      </c>
      <c r="F222" s="111" t="s">
        <v>5</v>
      </c>
      <c r="G222" s="5">
        <f>IF(F222="f",Assumptions!$E$39,Assumptions!$E$38)</f>
        <v>89.3</v>
      </c>
      <c r="J222" s="9">
        <v>33848</v>
      </c>
      <c r="K222" s="183" t="s">
        <v>16</v>
      </c>
      <c r="L222" s="218"/>
      <c r="M222" s="251">
        <v>1948.92</v>
      </c>
      <c r="N222" s="136"/>
      <c r="O222" s="139">
        <f t="shared" ref="O222:O228" si="41">M222*12</f>
        <v>23387.040000000001</v>
      </c>
      <c r="R222" s="9"/>
      <c r="T222" s="18"/>
      <c r="V222" s="392">
        <f>((O222*(1-(1+Assumptions!$G$40)^(-1*(G222-Q222))))/Assumptions!$G$40)</f>
        <v>259737.81932044288</v>
      </c>
      <c r="W222" s="392">
        <f>((O222*(1-(1+Assumptions!$G$46)^(-1*(G222-Q222))))/Assumptions!$G$46)</f>
        <v>383907.58145697654</v>
      </c>
      <c r="X222" s="283">
        <f t="shared" ref="X222:Z228" si="42">$M222*12</f>
        <v>23387.040000000001</v>
      </c>
      <c r="Y222" s="181">
        <f t="shared" si="42"/>
        <v>23387.040000000001</v>
      </c>
      <c r="Z222" s="181">
        <f t="shared" si="42"/>
        <v>23387.040000000001</v>
      </c>
      <c r="AA222" s="284">
        <f>((X222*(1-(1+Assumptions!$H$40)^(-1*(G222-Q222))))/Assumptions!$H$40)</f>
        <v>259737.81932044288</v>
      </c>
      <c r="AB222" s="284">
        <f>((Y222*(1-(1+Assumptions!$I$40)^(-1*(G222-Q222))))/Assumptions!$I$40)</f>
        <v>259737.81932044288</v>
      </c>
      <c r="AC222" s="285">
        <f>((Z222*(1-(1+Assumptions!$J$40)^(-1*(G222-Q222))))/Assumptions!$J$40)</f>
        <v>259737.81932044288</v>
      </c>
      <c r="AD222" s="148">
        <f>((X222*(1-(1+Assumptions!$H$46)^(-1*(G222-Q222))))/Assumptions!$H$46)</f>
        <v>383907.58145697654</v>
      </c>
      <c r="AE222" s="148">
        <f>((Y222*(1-(1+Assumptions!$I$46)^(-1*(G222-Q222))))/Assumptions!$I$46)</f>
        <v>383907.58145697654</v>
      </c>
      <c r="AF222" s="148">
        <f>((Z222*(1-(1+Assumptions!$J$46)^(-1*(G222-Q222))))/Assumptions!$J$46)</f>
        <v>383907.58145697654</v>
      </c>
      <c r="AG222" s="145">
        <v>37134</v>
      </c>
      <c r="AH222" s="148">
        <f>((AI222*(1-(1+Assumptions!$M$40)^(-1*(G222-Q222))))/Assumptions!$M$40)</f>
        <v>421653.01924146427</v>
      </c>
      <c r="AI222" s="419">
        <f t="shared" ref="AI222:AI228" si="43">M222*12</f>
        <v>23387.040000000001</v>
      </c>
      <c r="AJ222" s="148">
        <f>((AI222*(1-(1+Assumptions!$L$40)^(-1*(G222-Q222))))/Assumptions!$L$40)</f>
        <v>259737.81932044288</v>
      </c>
      <c r="AK222" s="148">
        <f>((AI222*(1-(1+Assumptions!$L$46)^(-1*(G222-Q222))))/Assumptions!$L$46)</f>
        <v>383907.58145697654</v>
      </c>
      <c r="AL222" s="148"/>
      <c r="AM222" s="3" t="s">
        <v>90</v>
      </c>
      <c r="AN222" s="3"/>
      <c r="AO222" s="104"/>
      <c r="AP222" s="104"/>
      <c r="AQ222" s="114"/>
      <c r="AR222" s="116"/>
    </row>
    <row r="223" spans="1:44" x14ac:dyDescent="0.2">
      <c r="A223" s="3" t="s">
        <v>109</v>
      </c>
      <c r="B223" s="183">
        <f t="shared" ref="B223:B228" si="44">B222+1</f>
        <v>168</v>
      </c>
      <c r="D223" s="263" t="s">
        <v>500</v>
      </c>
      <c r="E223" s="263" t="s">
        <v>513</v>
      </c>
      <c r="F223" s="111" t="s">
        <v>5</v>
      </c>
      <c r="G223" s="5">
        <f>IF(F223="f",Assumptions!$E$39,Assumptions!$E$38)</f>
        <v>89.3</v>
      </c>
      <c r="J223" s="9">
        <v>33848</v>
      </c>
      <c r="K223" s="183" t="s">
        <v>15</v>
      </c>
      <c r="L223" s="218"/>
      <c r="M223" s="251">
        <v>151</v>
      </c>
      <c r="N223" s="136"/>
      <c r="O223" s="139">
        <f t="shared" si="41"/>
        <v>1812</v>
      </c>
      <c r="R223" s="9"/>
      <c r="T223" s="18"/>
      <c r="V223" s="392">
        <f>((O223*(1-(1+Assumptions!$G$40)^(-1*(G223-Q223))))/Assumptions!$G$40)</f>
        <v>20124.176835060891</v>
      </c>
      <c r="W223" s="392">
        <f>((O223*(1-(1+Assumptions!$G$46)^(-1*(G223-Q223))))/Assumptions!$G$46)</f>
        <v>29744.702091416504</v>
      </c>
      <c r="X223" s="283">
        <f t="shared" si="42"/>
        <v>1812</v>
      </c>
      <c r="Y223" s="181">
        <f t="shared" si="42"/>
        <v>1812</v>
      </c>
      <c r="Z223" s="181">
        <f t="shared" si="42"/>
        <v>1812</v>
      </c>
      <c r="AA223" s="284">
        <f>((X223*(1-(1+Assumptions!$H$40)^(-1*(G223-Q223))))/Assumptions!$H$40)</f>
        <v>20124.176835060891</v>
      </c>
      <c r="AB223" s="284">
        <f>((Y223*(1-(1+Assumptions!$I$40)^(-1*(G223-Q223))))/Assumptions!$I$40)</f>
        <v>20124.176835060891</v>
      </c>
      <c r="AC223" s="285">
        <f>((Z223*(1-(1+Assumptions!$J$40)^(-1*(G223-Q223))))/Assumptions!$J$40)</f>
        <v>20124.176835060891</v>
      </c>
      <c r="AD223" s="148">
        <f>((X223*(1-(1+Assumptions!$H$46)^(-1*(G223-Q223))))/Assumptions!$H$46)</f>
        <v>29744.702091416504</v>
      </c>
      <c r="AE223" s="148">
        <f>((Y223*(1-(1+Assumptions!$I$46)^(-1*(G223-Q223))))/Assumptions!$I$46)</f>
        <v>29744.702091416504</v>
      </c>
      <c r="AF223" s="148">
        <f>((Z223*(1-(1+Assumptions!$J$46)^(-1*(G223-Q223))))/Assumptions!$J$46)</f>
        <v>29744.702091416504</v>
      </c>
      <c r="AG223" s="145">
        <v>37134</v>
      </c>
      <c r="AH223" s="148">
        <f>((AI223*(1-(1+Assumptions!$M$40)^(-1*(G223-Q223))))/Assumptions!$M$40)</f>
        <v>32669.173647692623</v>
      </c>
      <c r="AI223" s="419">
        <f t="shared" si="43"/>
        <v>1812</v>
      </c>
      <c r="AJ223" s="148">
        <f>((AI223*(1-(1+Assumptions!$L$40)^(-1*(G223-Q223))))/Assumptions!$L$40)</f>
        <v>20124.176835060891</v>
      </c>
      <c r="AK223" s="148">
        <f>((AI223*(1-(1+Assumptions!$L$46)^(-1*(G223-Q223))))/Assumptions!$L$46)</f>
        <v>29744.702091416504</v>
      </c>
      <c r="AL223" s="148"/>
      <c r="AM223" s="3" t="s">
        <v>90</v>
      </c>
      <c r="AN223" s="3"/>
      <c r="AO223" s="104"/>
      <c r="AP223" s="104"/>
      <c r="AQ223" s="114"/>
      <c r="AR223" s="116"/>
    </row>
    <row r="224" spans="1:44" x14ac:dyDescent="0.2">
      <c r="A224" s="3" t="s">
        <v>109</v>
      </c>
      <c r="B224" s="183">
        <f t="shared" si="44"/>
        <v>169</v>
      </c>
      <c r="D224" s="263" t="s">
        <v>501</v>
      </c>
      <c r="E224" s="263" t="s">
        <v>514</v>
      </c>
      <c r="F224" s="111" t="s">
        <v>6</v>
      </c>
      <c r="G224" s="5">
        <f>IF(F224="f",Assumptions!$E$39,Assumptions!$E$38)</f>
        <v>81.8</v>
      </c>
      <c r="J224" s="9">
        <v>34151</v>
      </c>
      <c r="K224" s="221">
        <v>35328</v>
      </c>
      <c r="L224" s="222"/>
      <c r="M224" s="237">
        <v>134.58000000000001</v>
      </c>
      <c r="O224" s="139">
        <f t="shared" si="41"/>
        <v>1614.96</v>
      </c>
      <c r="R224" s="9"/>
      <c r="V224" s="392">
        <f>((O224*(1-(1+Assumptions!$G$40)^(-1*(G224-Q224))))/Assumptions!$G$40)</f>
        <v>17928.424868250389</v>
      </c>
      <c r="W224" s="392">
        <f>((O224*(1-(1+Assumptions!$G$46)^(-1*(G224-Q224))))/Assumptions!$G$46)</f>
        <v>26432.950854667426</v>
      </c>
      <c r="X224" s="283">
        <f t="shared" si="42"/>
        <v>1614.96</v>
      </c>
      <c r="Y224" s="181">
        <f t="shared" si="42"/>
        <v>1614.96</v>
      </c>
      <c r="Z224" s="181">
        <f t="shared" si="42"/>
        <v>1614.96</v>
      </c>
      <c r="AA224" s="284">
        <f>((X224*(1-(1+Assumptions!$H$40)^(-1*(G224-Q224))))/Assumptions!$H$40)</f>
        <v>17928.424868250389</v>
      </c>
      <c r="AB224" s="284">
        <f>((Y224*(1-(1+Assumptions!$I$40)^(-1*(G224-Q224))))/Assumptions!$I$40)</f>
        <v>17928.424868250389</v>
      </c>
      <c r="AC224" s="285">
        <f>((Z224*(1-(1+Assumptions!$J$40)^(-1*(G224-Q224))))/Assumptions!$J$40)</f>
        <v>17928.424868250389</v>
      </c>
      <c r="AD224" s="148">
        <f>((X224*(1-(1+Assumptions!$H$46)^(-1*(G224-Q224))))/Assumptions!$H$46)</f>
        <v>26432.950854667426</v>
      </c>
      <c r="AE224" s="148">
        <f>((Y224*(1-(1+Assumptions!$I$46)^(-1*(G224-Q224))))/Assumptions!$I$46)</f>
        <v>26432.950854667426</v>
      </c>
      <c r="AF224" s="148">
        <f>((Z224*(1-(1+Assumptions!$J$46)^(-1*(G224-Q224))))/Assumptions!$J$46)</f>
        <v>26432.950854667426</v>
      </c>
      <c r="AG224" s="145">
        <v>37134</v>
      </c>
      <c r="AH224" s="148">
        <f>((AI224*(1-(1+Assumptions!$M$40)^(-1*(G224-Q224))))/Assumptions!$M$40)</f>
        <v>28994.993762229678</v>
      </c>
      <c r="AI224" s="419">
        <f t="shared" si="43"/>
        <v>1614.96</v>
      </c>
      <c r="AJ224" s="148">
        <f>((AI224*(1-(1+Assumptions!$L$40)^(-1*(G224-Q224))))/Assumptions!$L$40)</f>
        <v>17928.424868250389</v>
      </c>
      <c r="AK224" s="148">
        <f>((AI224*(1-(1+Assumptions!$L$46)^(-1*(G224-Q224))))/Assumptions!$L$46)</f>
        <v>26432.950854667426</v>
      </c>
      <c r="AL224" s="148"/>
      <c r="AM224" s="3" t="s">
        <v>89</v>
      </c>
      <c r="AN224" s="3"/>
      <c r="AO224" s="104"/>
      <c r="AP224" s="104"/>
      <c r="AQ224" s="114"/>
      <c r="AR224" s="116"/>
    </row>
    <row r="225" spans="1:44" x14ac:dyDescent="0.2">
      <c r="A225" s="3" t="s">
        <v>109</v>
      </c>
      <c r="B225" s="183">
        <f t="shared" si="44"/>
        <v>170</v>
      </c>
      <c r="D225" s="263" t="s">
        <v>502</v>
      </c>
      <c r="E225" s="263" t="s">
        <v>515</v>
      </c>
      <c r="F225" s="111" t="s">
        <v>5</v>
      </c>
      <c r="G225" s="5">
        <f>IF(F225="f",Assumptions!$E$39,Assumptions!$E$38)</f>
        <v>89.3</v>
      </c>
      <c r="J225" s="9">
        <v>34516</v>
      </c>
      <c r="K225" s="183" t="s">
        <v>14</v>
      </c>
      <c r="L225" s="218"/>
      <c r="M225" s="251">
        <v>1162.2</v>
      </c>
      <c r="N225" s="136"/>
      <c r="O225" s="139">
        <f t="shared" si="41"/>
        <v>13946.400000000001</v>
      </c>
      <c r="R225" s="9"/>
      <c r="V225" s="392">
        <f>((O225*(1-(1+Assumptions!$G$40)^(-1*(G225-Q225))))/Assumptions!$G$40)</f>
        <v>154889.52528283291</v>
      </c>
      <c r="W225" s="392">
        <f>((O225*(1-(1+Assumptions!$G$46)^(-1*(G225-Q225))))/Assumptions!$G$46)</f>
        <v>228935.71371287594</v>
      </c>
      <c r="X225" s="283">
        <f t="shared" si="42"/>
        <v>13946.400000000001</v>
      </c>
      <c r="Y225" s="181">
        <f t="shared" si="42"/>
        <v>13946.400000000001</v>
      </c>
      <c r="Z225" s="181">
        <f t="shared" si="42"/>
        <v>13946.400000000001</v>
      </c>
      <c r="AA225" s="284">
        <f>((X225*(1-(1+Assumptions!$H$40)^(-1*(G225-Q225))))/Assumptions!$H$40)</f>
        <v>154889.52528283291</v>
      </c>
      <c r="AB225" s="284">
        <f>((Y225*(1-(1+Assumptions!$I$40)^(-1*(G225-Q225))))/Assumptions!$I$40)</f>
        <v>154889.52528283291</v>
      </c>
      <c r="AC225" s="285">
        <f>((Z225*(1-(1+Assumptions!$J$40)^(-1*(G225-Q225))))/Assumptions!$J$40)</f>
        <v>154889.52528283291</v>
      </c>
      <c r="AD225" s="148">
        <f>((X225*(1-(1+Assumptions!$H$46)^(-1*(G225-Q225))))/Assumptions!$H$46)</f>
        <v>228935.71371287594</v>
      </c>
      <c r="AE225" s="148">
        <f>((Y225*(1-(1+Assumptions!$I$46)^(-1*(G225-Q225))))/Assumptions!$I$46)</f>
        <v>228935.71371287594</v>
      </c>
      <c r="AF225" s="148">
        <f>((Z225*(1-(1+Assumptions!$J$46)^(-1*(G225-Q225))))/Assumptions!$J$46)</f>
        <v>228935.71371287594</v>
      </c>
      <c r="AG225" s="145">
        <v>37134</v>
      </c>
      <c r="AH225" s="148">
        <f>((AI225*(1-(1+Assumptions!$M$40)^(-1*(G225-Q225))))/Assumptions!$M$40)</f>
        <v>251444.46101555214</v>
      </c>
      <c r="AI225" s="419">
        <f t="shared" si="43"/>
        <v>13946.400000000001</v>
      </c>
      <c r="AJ225" s="148">
        <f>((AI225*(1-(1+Assumptions!$L$40)^(-1*(G225-Q225))))/Assumptions!$L$40)</f>
        <v>154889.52528283291</v>
      </c>
      <c r="AK225" s="148">
        <f>((AI225*(1-(1+Assumptions!$L$46)^(-1*(G225-Q225))))/Assumptions!$L$46)</f>
        <v>228935.71371287594</v>
      </c>
      <c r="AL225" s="148"/>
      <c r="AM225" s="3" t="s">
        <v>90</v>
      </c>
      <c r="AN225" s="3"/>
      <c r="AO225" s="104"/>
      <c r="AP225" s="104"/>
      <c r="AQ225" s="114"/>
      <c r="AR225" s="116"/>
    </row>
    <row r="226" spans="1:44" x14ac:dyDescent="0.2">
      <c r="A226" s="3" t="s">
        <v>109</v>
      </c>
      <c r="B226" s="183">
        <f t="shared" si="44"/>
        <v>171</v>
      </c>
      <c r="D226" s="263" t="s">
        <v>503</v>
      </c>
      <c r="E226" s="263" t="s">
        <v>516</v>
      </c>
      <c r="F226" s="111" t="s">
        <v>5</v>
      </c>
      <c r="G226" s="5">
        <f>IF(F226="f",Assumptions!$E$39,Assumptions!$E$38)</f>
        <v>89.3</v>
      </c>
      <c r="J226" s="9">
        <v>34516</v>
      </c>
      <c r="K226" s="223">
        <v>36740</v>
      </c>
      <c r="L226" s="224"/>
      <c r="M226" s="251">
        <v>983.11</v>
      </c>
      <c r="N226" s="136"/>
      <c r="O226" s="139">
        <f t="shared" si="41"/>
        <v>11797.32</v>
      </c>
      <c r="R226" s="9"/>
      <c r="V226" s="392">
        <f>((O226*(1-(1+Assumptions!$G$40)^(-1*(G226-Q226))))/Assumptions!$G$40)</f>
        <v>131021.71846567359</v>
      </c>
      <c r="W226" s="392">
        <f>((O226*(1-(1+Assumptions!$G$46)^(-1*(G226-Q226))))/Assumptions!$G$46)</f>
        <v>193657.70909332769</v>
      </c>
      <c r="X226" s="283">
        <f t="shared" si="42"/>
        <v>11797.32</v>
      </c>
      <c r="Y226" s="181">
        <f t="shared" si="42"/>
        <v>11797.32</v>
      </c>
      <c r="Z226" s="181">
        <f t="shared" si="42"/>
        <v>11797.32</v>
      </c>
      <c r="AA226" s="284">
        <f>((X226*(1-(1+Assumptions!$H$40)^(-1*(G226-Q226))))/Assumptions!$H$40)</f>
        <v>131021.71846567359</v>
      </c>
      <c r="AB226" s="284">
        <f>((Y226*(1-(1+Assumptions!$I$40)^(-1*(G226-Q226))))/Assumptions!$I$40)</f>
        <v>131021.71846567359</v>
      </c>
      <c r="AC226" s="285">
        <f>((Z226*(1-(1+Assumptions!$J$40)^(-1*(G226-Q226))))/Assumptions!$J$40)</f>
        <v>131021.71846567359</v>
      </c>
      <c r="AD226" s="148">
        <f>((X226*(1-(1+Assumptions!$H$46)^(-1*(G226-Q226))))/Assumptions!$H$46)</f>
        <v>193657.70909332769</v>
      </c>
      <c r="AE226" s="148">
        <f>((Y226*(1-(1+Assumptions!$I$46)^(-1*(G226-Q226))))/Assumptions!$I$46)</f>
        <v>193657.70909332769</v>
      </c>
      <c r="AF226" s="148">
        <f>((Z226*(1-(1+Assumptions!$J$46)^(-1*(G226-Q226))))/Assumptions!$J$46)</f>
        <v>193657.70909332769</v>
      </c>
      <c r="AG226" s="145">
        <v>37134</v>
      </c>
      <c r="AH226" s="148">
        <f>((AI226*(1-(1+Assumptions!$M$40)^(-1*(G226-Q226))))/Assumptions!$M$40)</f>
        <v>212697.95566081518</v>
      </c>
      <c r="AI226" s="419">
        <f t="shared" si="43"/>
        <v>11797.32</v>
      </c>
      <c r="AJ226" s="148">
        <f>((AI226*(1-(1+Assumptions!$L$40)^(-1*(G226-Q226))))/Assumptions!$L$40)</f>
        <v>131021.71846567359</v>
      </c>
      <c r="AK226" s="148">
        <f>((AI226*(1-(1+Assumptions!$L$46)^(-1*(G226-Q226))))/Assumptions!$L$46)</f>
        <v>193657.70909332769</v>
      </c>
      <c r="AL226" s="148"/>
      <c r="AM226" s="3" t="s">
        <v>98</v>
      </c>
      <c r="AN226" s="3"/>
      <c r="AO226" s="104"/>
      <c r="AP226" s="104"/>
      <c r="AQ226" s="114"/>
      <c r="AR226" s="116"/>
    </row>
    <row r="227" spans="1:44" x14ac:dyDescent="0.2">
      <c r="A227" s="3" t="s">
        <v>109</v>
      </c>
      <c r="B227" s="183">
        <f t="shared" si="44"/>
        <v>172</v>
      </c>
      <c r="D227" s="263" t="s">
        <v>504</v>
      </c>
      <c r="E227" s="263" t="s">
        <v>517</v>
      </c>
      <c r="F227" s="104" t="s">
        <v>5</v>
      </c>
      <c r="G227" s="5">
        <f>IF(F227="f",Assumptions!$E$39,Assumptions!$E$38)</f>
        <v>89.3</v>
      </c>
      <c r="J227" s="8" t="s">
        <v>92</v>
      </c>
      <c r="K227" s="193">
        <v>36102</v>
      </c>
      <c r="L227" s="203"/>
      <c r="M227" s="237">
        <v>1187.5</v>
      </c>
      <c r="O227" s="139">
        <f t="shared" si="41"/>
        <v>14250</v>
      </c>
      <c r="R227" s="8"/>
      <c r="V227" s="392">
        <f>((O227*(1-(1+Assumptions!$G$40)^(-1*(G227-Q227))))/Assumptions!$G$40)</f>
        <v>158261.32444791263</v>
      </c>
      <c r="W227" s="392">
        <f>((O227*(1-(1+Assumptions!$G$46)^(-1*(G227-Q227))))/Assumptions!$G$46)</f>
        <v>233919.42869905365</v>
      </c>
      <c r="X227" s="283">
        <f t="shared" si="42"/>
        <v>14250</v>
      </c>
      <c r="Y227" s="181">
        <f t="shared" si="42"/>
        <v>14250</v>
      </c>
      <c r="Z227" s="181">
        <f t="shared" si="42"/>
        <v>14250</v>
      </c>
      <c r="AA227" s="284">
        <f>((X227*(1-(1+Assumptions!$H$40)^(-1*(G227-Q227))))/Assumptions!$H$40)</f>
        <v>158261.32444791263</v>
      </c>
      <c r="AB227" s="284">
        <f>((Y227*(1-(1+Assumptions!$I$40)^(-1*(G227-Q227))))/Assumptions!$I$40)</f>
        <v>158261.32444791263</v>
      </c>
      <c r="AC227" s="285">
        <f>((Z227*(1-(1+Assumptions!$J$40)^(-1*(G227-Q227))))/Assumptions!$J$40)</f>
        <v>158261.32444791263</v>
      </c>
      <c r="AD227" s="148">
        <f>((X227*(1-(1+Assumptions!$H$46)^(-1*(G227-Q227))))/Assumptions!$H$46)</f>
        <v>233919.42869905365</v>
      </c>
      <c r="AE227" s="148">
        <f>((Y227*(1-(1+Assumptions!$I$46)^(-1*(G227-Q227))))/Assumptions!$I$46)</f>
        <v>233919.42869905365</v>
      </c>
      <c r="AF227" s="148">
        <f>((Z227*(1-(1+Assumptions!$J$46)^(-1*(G227-Q227))))/Assumptions!$J$46)</f>
        <v>233919.42869905365</v>
      </c>
      <c r="AG227" s="145">
        <v>37134</v>
      </c>
      <c r="AH227" s="148">
        <f>((AI227*(1-(1+Assumptions!$M$40)^(-1*(G227-Q227))))/Assumptions!$M$40)</f>
        <v>256918.1702426158</v>
      </c>
      <c r="AI227" s="419">
        <f t="shared" si="43"/>
        <v>14250</v>
      </c>
      <c r="AJ227" s="148">
        <f>((AI227*(1-(1+Assumptions!$L$40)^(-1*(G227-Q227))))/Assumptions!$L$40)</f>
        <v>158261.32444791263</v>
      </c>
      <c r="AK227" s="148">
        <f>((AI227*(1-(1+Assumptions!$L$46)^(-1*(G227-Q227))))/Assumptions!$L$46)</f>
        <v>233919.42869905365</v>
      </c>
      <c r="AL227" s="148"/>
      <c r="AM227" s="3" t="s">
        <v>93</v>
      </c>
      <c r="AN227" s="3"/>
      <c r="AO227" s="104"/>
      <c r="AP227" s="104"/>
      <c r="AQ227" s="114"/>
      <c r="AR227" s="116"/>
    </row>
    <row r="228" spans="1:44" x14ac:dyDescent="0.2">
      <c r="A228" s="180" t="s">
        <v>109</v>
      </c>
      <c r="B228" s="183">
        <f t="shared" si="44"/>
        <v>173</v>
      </c>
      <c r="C228" s="25"/>
      <c r="D228" s="263" t="s">
        <v>505</v>
      </c>
      <c r="E228" s="263" t="s">
        <v>518</v>
      </c>
      <c r="F228" s="109" t="s">
        <v>5</v>
      </c>
      <c r="G228" s="5">
        <f>IF(F228="f",Assumptions!$E$39,Assumptions!$E$38)</f>
        <v>89.3</v>
      </c>
      <c r="I228" s="109"/>
      <c r="J228" s="268">
        <v>36130</v>
      </c>
      <c r="K228" s="268">
        <v>37031</v>
      </c>
      <c r="L228" s="96"/>
      <c r="M228" s="272">
        <v>1000</v>
      </c>
      <c r="N228" s="131"/>
      <c r="O228" s="273">
        <f t="shared" si="41"/>
        <v>12000</v>
      </c>
      <c r="P228" s="25"/>
      <c r="Q228" s="42"/>
      <c r="R228" s="25"/>
      <c r="S228" s="25"/>
      <c r="V228" s="392">
        <f>((O228*(1-(1+Assumptions!$G$40)^(-1*(G228-Q228))))/Assumptions!$G$40)</f>
        <v>133272.69427192642</v>
      </c>
      <c r="W228" s="392">
        <f>((O228*(1-(1+Assumptions!$G$46)^(-1*(G228-Q228))))/Assumptions!$G$46)</f>
        <v>196984.78206236099</v>
      </c>
      <c r="X228" s="283">
        <f t="shared" si="42"/>
        <v>12000</v>
      </c>
      <c r="Y228" s="181">
        <f t="shared" si="42"/>
        <v>12000</v>
      </c>
      <c r="Z228" s="181">
        <f t="shared" si="42"/>
        <v>12000</v>
      </c>
      <c r="AA228" s="284">
        <f>((X228*(1-(1+Assumptions!$H$40)^(-1*(G228-Q228))))/Assumptions!$H$40)</f>
        <v>133272.69427192642</v>
      </c>
      <c r="AB228" s="284">
        <f>((Y228*(1-(1+Assumptions!$I$40)^(-1*(G228-Q228))))/Assumptions!$I$40)</f>
        <v>133272.69427192642</v>
      </c>
      <c r="AC228" s="285">
        <f>((Z228*(1-(1+Assumptions!$J$40)^(-1*(G228-Q228))))/Assumptions!$J$40)</f>
        <v>133272.69427192642</v>
      </c>
      <c r="AD228" s="148">
        <f>((X228*(1-(1+Assumptions!$H$46)^(-1*(G228-Q228))))/Assumptions!$H$46)</f>
        <v>196984.78206236099</v>
      </c>
      <c r="AE228" s="148">
        <f>((Y228*(1-(1+Assumptions!$I$46)^(-1*(G228-Q228))))/Assumptions!$I$46)</f>
        <v>196984.78206236099</v>
      </c>
      <c r="AF228" s="148">
        <f>((Z228*(1-(1+Assumptions!$J$46)^(-1*(G228-Q228))))/Assumptions!$J$46)</f>
        <v>196984.78206236099</v>
      </c>
      <c r="AG228" s="145">
        <v>37134</v>
      </c>
      <c r="AH228" s="148">
        <f>((AI228*(1-(1+Assumptions!$M$40)^(-1*(G228-Q228))))/Assumptions!$M$40)</f>
        <v>216352.1433622028</v>
      </c>
      <c r="AI228" s="419">
        <f t="shared" si="43"/>
        <v>12000</v>
      </c>
      <c r="AJ228" s="148">
        <f>((AI228*(1-(1+Assumptions!$L$40)^(-1*(G228-Q228))))/Assumptions!$L$40)</f>
        <v>133272.69427192642</v>
      </c>
      <c r="AK228" s="148">
        <f>((AI228*(1-(1+Assumptions!$L$46)^(-1*(G228-Q228))))/Assumptions!$L$46)</f>
        <v>196984.78206236099</v>
      </c>
      <c r="AL228" s="148"/>
      <c r="AM228" s="180" t="s">
        <v>67</v>
      </c>
      <c r="AO228" s="104"/>
      <c r="AP228" s="109"/>
      <c r="AQ228" s="114"/>
      <c r="AR228" s="116"/>
    </row>
    <row r="229" spans="1:44" x14ac:dyDescent="0.2">
      <c r="A229" s="180"/>
      <c r="B229" s="183"/>
      <c r="C229" s="25"/>
      <c r="D229" s="259"/>
      <c r="E229" s="259"/>
      <c r="F229" s="109"/>
      <c r="G229" s="5"/>
      <c r="I229" s="109"/>
      <c r="J229" s="268"/>
      <c r="K229" s="268"/>
      <c r="L229" s="96"/>
      <c r="M229" s="272"/>
      <c r="N229" s="131"/>
      <c r="O229" s="289"/>
      <c r="P229" s="25"/>
      <c r="Q229" s="42"/>
      <c r="R229" s="25"/>
      <c r="S229" s="25"/>
      <c r="V229" s="277"/>
      <c r="W229" s="277"/>
      <c r="X229" s="291"/>
      <c r="Y229" s="292"/>
      <c r="Z229" s="292"/>
      <c r="AA229" s="293"/>
      <c r="AB229" s="293"/>
      <c r="AC229" s="294"/>
      <c r="AD229" s="284"/>
      <c r="AE229" s="284"/>
      <c r="AF229" s="284"/>
      <c r="AG229" s="145"/>
      <c r="AH229" s="148"/>
      <c r="AI229" s="409"/>
      <c r="AJ229" s="148"/>
      <c r="AK229" s="148"/>
      <c r="AL229" s="148"/>
      <c r="AM229" s="180"/>
      <c r="AO229" s="104"/>
      <c r="AP229" s="109"/>
      <c r="AQ229" s="114"/>
      <c r="AR229" s="116"/>
    </row>
    <row r="230" spans="1:44" x14ac:dyDescent="0.2">
      <c r="A230" s="180"/>
      <c r="B230" s="183"/>
      <c r="C230" s="25"/>
      <c r="D230" s="259"/>
      <c r="E230" s="259"/>
      <c r="F230" s="109"/>
      <c r="G230" s="25"/>
      <c r="I230" s="109"/>
      <c r="J230" s="268"/>
      <c r="K230" s="25"/>
      <c r="L230" s="96"/>
      <c r="M230" s="246"/>
      <c r="N230" s="131"/>
      <c r="O230" s="86"/>
      <c r="P230" s="25"/>
      <c r="Q230" s="42"/>
      <c r="R230" s="25"/>
      <c r="S230" s="25"/>
      <c r="AG230" s="145"/>
      <c r="AH230" s="86"/>
      <c r="AI230" s="289"/>
      <c r="AJ230" s="86"/>
      <c r="AK230" s="86"/>
      <c r="AL230" s="86"/>
      <c r="AO230" s="104"/>
      <c r="AP230" s="109"/>
      <c r="AQ230" s="114"/>
      <c r="AR230" s="116"/>
    </row>
    <row r="231" spans="1:44" ht="13.5" thickBot="1" x14ac:dyDescent="0.25">
      <c r="B231" s="218">
        <f>COUNT(B2:B228)</f>
        <v>170</v>
      </c>
      <c r="U231" s="3"/>
      <c r="V231" s="278">
        <f>SUM(V5:V228)</f>
        <v>20237684.678744897</v>
      </c>
      <c r="W231" s="278">
        <f>SUM(W5:W228)</f>
        <v>30241528.460253615</v>
      </c>
      <c r="X231" s="278">
        <f t="shared" ref="X231:AF231" si="45">SUM(X5:X228)</f>
        <v>2528103.5336986301</v>
      </c>
      <c r="Y231" s="278">
        <f t="shared" si="45"/>
        <v>2879417.0496803652</v>
      </c>
      <c r="Z231" s="278">
        <f t="shared" si="45"/>
        <v>2601250.3830136983</v>
      </c>
      <c r="AA231" s="278">
        <f t="shared" si="45"/>
        <v>18143013.391073886</v>
      </c>
      <c r="AB231" s="278">
        <f t="shared" si="45"/>
        <v>19767594.515856665</v>
      </c>
      <c r="AC231" s="278">
        <f t="shared" si="45"/>
        <v>18634679.302023981</v>
      </c>
      <c r="AD231" s="278">
        <f t="shared" si="45"/>
        <v>26840794.980965208</v>
      </c>
      <c r="AE231" s="278">
        <f t="shared" si="45"/>
        <v>29255189.833788339</v>
      </c>
      <c r="AF231" s="278">
        <f t="shared" si="45"/>
        <v>27474809.487672109</v>
      </c>
      <c r="AH231" s="150">
        <f>SUM(AH5:AH228)</f>
        <v>33103966.0244422</v>
      </c>
      <c r="AI231" s="425">
        <f>SUM(AI5:AI228)</f>
        <v>3157225.4515068494</v>
      </c>
      <c r="AJ231" s="150">
        <f>SUM(AJ5:AJ228)</f>
        <v>20237684.678744897</v>
      </c>
      <c r="AK231" s="150">
        <f>SUM(AK5:AK228)</f>
        <v>30241528.460253615</v>
      </c>
      <c r="AL231" s="150">
        <f>SUM(AL5:AL228)</f>
        <v>8733699.1242979039</v>
      </c>
      <c r="AO231" s="104"/>
      <c r="AP231" s="104"/>
    </row>
    <row r="232" spans="1:44" ht="13.5" thickTop="1" x14ac:dyDescent="0.2">
      <c r="U232" s="3"/>
      <c r="AO232" s="104"/>
      <c r="AP232" s="104"/>
    </row>
    <row r="233" spans="1:44" x14ac:dyDescent="0.2">
      <c r="U233" s="3"/>
      <c r="AO233" s="104"/>
      <c r="AP233" s="104"/>
    </row>
    <row r="234" spans="1:44" x14ac:dyDescent="0.2">
      <c r="U234" s="3"/>
      <c r="AO234" s="104"/>
      <c r="AP234" s="104"/>
    </row>
    <row r="235" spans="1:44" x14ac:dyDescent="0.2">
      <c r="U235" s="3"/>
      <c r="AO235" s="104"/>
      <c r="AP235" s="104"/>
    </row>
    <row r="236" spans="1:44" x14ac:dyDescent="0.2">
      <c r="U236" s="3"/>
    </row>
    <row r="237" spans="1:44" x14ac:dyDescent="0.2">
      <c r="E237" s="253" t="s">
        <v>257</v>
      </c>
      <c r="O237" s="181" t="s">
        <v>257</v>
      </c>
      <c r="U237" s="3"/>
    </row>
    <row r="238" spans="1:44" x14ac:dyDescent="0.2">
      <c r="U238" s="3"/>
    </row>
  </sheetData>
  <mergeCells count="1">
    <mergeCell ref="A147:S147"/>
  </mergeCells>
  <phoneticPr fontId="0" type="noConversion"/>
  <printOptions gridLines="1"/>
  <pageMargins left="0.5" right="0.5" top="1" bottom="0.75" header="0.5" footer="0.5"/>
  <pageSetup scale="90" fitToHeight="0" pageOrder="overThenDown" orientation="landscape" horizontalDpi="180" verticalDpi="180" r:id="rId1"/>
  <headerFooter alignWithMargins="0">
    <oddHeader>&amp;CDATA AS OF 9-1-2001
SAINT LOUIS SYMPHONY ORCHESTRA EMPLOYEES' RETIREMENT PLAN
&amp;R&amp;D &amp;T</oddHeader>
    <oddFooter>&amp;L&amp;F&amp;A&amp;CPage &amp;P of &amp;N</oddFooter>
  </headerFooter>
  <rowBreaks count="5" manualBreakCount="5">
    <brk id="93" max="18" man="1"/>
    <brk id="110" min="3" max="24" man="1"/>
    <brk id="143" max="18" man="1"/>
    <brk id="219" min="3" max="30" man="1"/>
    <brk id="235" max="16383" man="1"/>
  </rowBreaks>
  <colBreaks count="2" manualBreakCount="2">
    <brk id="3" max="1048575" man="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5"/>
  <sheetViews>
    <sheetView topLeftCell="A19" workbookViewId="0">
      <selection activeCell="A55" sqref="A55"/>
    </sheetView>
  </sheetViews>
  <sheetFormatPr defaultRowHeight="12.75" x14ac:dyDescent="0.2"/>
  <cols>
    <col min="1" max="1" width="11.7109375" bestFit="1" customWidth="1"/>
    <col min="2" max="2" width="12.28515625" customWidth="1"/>
  </cols>
  <sheetData>
    <row r="1" spans="1:2" x14ac:dyDescent="0.2">
      <c r="A1">
        <v>175</v>
      </c>
      <c r="B1">
        <v>175</v>
      </c>
    </row>
    <row r="2" spans="1:2" x14ac:dyDescent="0.2">
      <c r="A2">
        <v>175</v>
      </c>
      <c r="B2">
        <v>175</v>
      </c>
    </row>
    <row r="3" spans="1:2" x14ac:dyDescent="0.2">
      <c r="A3">
        <v>175</v>
      </c>
      <c r="B3">
        <v>175</v>
      </c>
    </row>
    <row r="4" spans="1:2" x14ac:dyDescent="0.2">
      <c r="A4">
        <v>175</v>
      </c>
      <c r="B4">
        <v>175</v>
      </c>
    </row>
    <row r="5" spans="1:2" x14ac:dyDescent="0.2">
      <c r="A5">
        <v>175</v>
      </c>
      <c r="B5">
        <v>175</v>
      </c>
    </row>
    <row r="6" spans="1:2" x14ac:dyDescent="0.2">
      <c r="A6">
        <v>175</v>
      </c>
      <c r="B6">
        <v>175</v>
      </c>
    </row>
    <row r="7" spans="1:2" x14ac:dyDescent="0.2">
      <c r="A7">
        <v>175</v>
      </c>
      <c r="B7">
        <v>175</v>
      </c>
    </row>
    <row r="8" spans="1:2" x14ac:dyDescent="0.2">
      <c r="A8">
        <v>175</v>
      </c>
      <c r="B8">
        <v>175</v>
      </c>
    </row>
    <row r="9" spans="1:2" x14ac:dyDescent="0.2">
      <c r="A9">
        <v>175</v>
      </c>
      <c r="B9">
        <v>175</v>
      </c>
    </row>
    <row r="10" spans="1:2" x14ac:dyDescent="0.2">
      <c r="A10">
        <v>175</v>
      </c>
      <c r="B10">
        <v>175</v>
      </c>
    </row>
    <row r="11" spans="1:2" x14ac:dyDescent="0.2">
      <c r="A11">
        <v>175</v>
      </c>
      <c r="B11">
        <v>175</v>
      </c>
    </row>
    <row r="12" spans="1:2" x14ac:dyDescent="0.2">
      <c r="A12">
        <v>175</v>
      </c>
      <c r="B12">
        <v>175</v>
      </c>
    </row>
    <row r="13" spans="1:2" x14ac:dyDescent="0.2">
      <c r="A13">
        <v>175</v>
      </c>
      <c r="B13">
        <v>175</v>
      </c>
    </row>
    <row r="14" spans="1:2" x14ac:dyDescent="0.2">
      <c r="A14">
        <v>175</v>
      </c>
      <c r="B14">
        <v>175</v>
      </c>
    </row>
    <row r="15" spans="1:2" x14ac:dyDescent="0.2">
      <c r="A15">
        <v>175</v>
      </c>
      <c r="B15">
        <v>175</v>
      </c>
    </row>
    <row r="16" spans="1:2" x14ac:dyDescent="0.2">
      <c r="A16">
        <v>175</v>
      </c>
      <c r="B16">
        <v>175</v>
      </c>
    </row>
    <row r="17" spans="1:2" x14ac:dyDescent="0.2">
      <c r="A17">
        <v>175</v>
      </c>
      <c r="B17">
        <v>175</v>
      </c>
    </row>
    <row r="18" spans="1:2" x14ac:dyDescent="0.2">
      <c r="A18">
        <v>175</v>
      </c>
      <c r="B18">
        <v>175</v>
      </c>
    </row>
    <row r="19" spans="1:2" x14ac:dyDescent="0.2">
      <c r="A19">
        <v>175</v>
      </c>
      <c r="B19">
        <v>175</v>
      </c>
    </row>
    <row r="20" spans="1:2" x14ac:dyDescent="0.2">
      <c r="A20">
        <v>175</v>
      </c>
      <c r="B20">
        <v>175</v>
      </c>
    </row>
    <row r="21" spans="1:2" x14ac:dyDescent="0.2">
      <c r="A21">
        <v>175</v>
      </c>
      <c r="B21">
        <v>175</v>
      </c>
    </row>
    <row r="22" spans="1:2" x14ac:dyDescent="0.2">
      <c r="A22">
        <v>175</v>
      </c>
      <c r="B22">
        <v>175</v>
      </c>
    </row>
    <row r="23" spans="1:2" x14ac:dyDescent="0.2">
      <c r="A23">
        <v>175</v>
      </c>
      <c r="B23">
        <v>175</v>
      </c>
    </row>
    <row r="24" spans="1:2" x14ac:dyDescent="0.2">
      <c r="A24">
        <v>175</v>
      </c>
      <c r="B24">
        <v>175</v>
      </c>
    </row>
    <row r="25" spans="1:2" x14ac:dyDescent="0.2">
      <c r="A25">
        <v>175</v>
      </c>
      <c r="B25">
        <v>175</v>
      </c>
    </row>
    <row r="26" spans="1:2" x14ac:dyDescent="0.2">
      <c r="A26">
        <v>175</v>
      </c>
      <c r="B26">
        <v>175</v>
      </c>
    </row>
    <row r="27" spans="1:2" x14ac:dyDescent="0.2">
      <c r="A27">
        <v>175</v>
      </c>
      <c r="B27">
        <v>175</v>
      </c>
    </row>
    <row r="28" spans="1:2" x14ac:dyDescent="0.2">
      <c r="A28">
        <v>175</v>
      </c>
      <c r="B28">
        <v>175</v>
      </c>
    </row>
    <row r="29" spans="1:2" x14ac:dyDescent="0.2">
      <c r="A29">
        <v>175</v>
      </c>
      <c r="B29">
        <v>175</v>
      </c>
    </row>
    <row r="30" spans="1:2" x14ac:dyDescent="0.2">
      <c r="A30">
        <v>175</v>
      </c>
      <c r="B30">
        <v>175</v>
      </c>
    </row>
    <row r="31" spans="1:2" x14ac:dyDescent="0.2">
      <c r="A31">
        <v>175</v>
      </c>
      <c r="B31">
        <v>175</v>
      </c>
    </row>
    <row r="32" spans="1:2" x14ac:dyDescent="0.2">
      <c r="A32">
        <v>175</v>
      </c>
      <c r="B32">
        <v>175</v>
      </c>
    </row>
    <row r="33" spans="1:2" x14ac:dyDescent="0.2">
      <c r="A33">
        <v>175</v>
      </c>
      <c r="B33">
        <v>175</v>
      </c>
    </row>
    <row r="34" spans="1:2" x14ac:dyDescent="0.2">
      <c r="A34">
        <v>175</v>
      </c>
    </row>
    <row r="35" spans="1:2" x14ac:dyDescent="0.2">
      <c r="A35">
        <v>175</v>
      </c>
    </row>
    <row r="36" spans="1:2" x14ac:dyDescent="0.2">
      <c r="A36">
        <v>175</v>
      </c>
    </row>
    <row r="37" spans="1:2" x14ac:dyDescent="0.2">
      <c r="A37">
        <v>175</v>
      </c>
    </row>
    <row r="38" spans="1:2" x14ac:dyDescent="0.2">
      <c r="A38">
        <v>175</v>
      </c>
    </row>
    <row r="39" spans="1:2" x14ac:dyDescent="0.2">
      <c r="A39">
        <v>175</v>
      </c>
    </row>
    <row r="40" spans="1:2" x14ac:dyDescent="0.2">
      <c r="A40">
        <v>175</v>
      </c>
    </row>
    <row r="41" spans="1:2" x14ac:dyDescent="0.2">
      <c r="A41">
        <v>175</v>
      </c>
    </row>
    <row r="42" spans="1:2" x14ac:dyDescent="0.2">
      <c r="A42">
        <v>175</v>
      </c>
    </row>
    <row r="43" spans="1:2" x14ac:dyDescent="0.2">
      <c r="A43">
        <v>175</v>
      </c>
    </row>
    <row r="44" spans="1:2" x14ac:dyDescent="0.2">
      <c r="A44">
        <v>175</v>
      </c>
    </row>
    <row r="45" spans="1:2" x14ac:dyDescent="0.2">
      <c r="A45">
        <v>175</v>
      </c>
    </row>
    <row r="46" spans="1:2" x14ac:dyDescent="0.2">
      <c r="A46">
        <v>175</v>
      </c>
    </row>
    <row r="47" spans="1:2" x14ac:dyDescent="0.2">
      <c r="A47">
        <v>175</v>
      </c>
    </row>
    <row r="48" spans="1:2" x14ac:dyDescent="0.2">
      <c r="A48">
        <v>175</v>
      </c>
    </row>
    <row r="49" spans="1:2" x14ac:dyDescent="0.2">
      <c r="A49">
        <v>175</v>
      </c>
    </row>
    <row r="50" spans="1:2" x14ac:dyDescent="0.2">
      <c r="A50">
        <v>175</v>
      </c>
    </row>
    <row r="51" spans="1:2" x14ac:dyDescent="0.2">
      <c r="A51">
        <v>175</v>
      </c>
    </row>
    <row r="55" spans="1:2" x14ac:dyDescent="0.2">
      <c r="A55" s="90">
        <f>NPV(6.26%,A1:A53)</f>
        <v>2669.1689872278457</v>
      </c>
      <c r="B55" s="90">
        <f>NPV(8%,B1:B33)</f>
        <v>2014.930464302402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101</vt:i4>
      </vt:variant>
    </vt:vector>
  </HeadingPairs>
  <TitlesOfParts>
    <vt:vector size="109" baseType="lpstr">
      <vt:lpstr>Formula</vt:lpstr>
      <vt:lpstr>AssumLegend</vt:lpstr>
      <vt:lpstr>Assumptions</vt:lpstr>
      <vt:lpstr>01Retirees</vt:lpstr>
      <vt:lpstr>SumCalc_01-02</vt:lpstr>
      <vt:lpstr>LegendSumCalc</vt:lpstr>
      <vt:lpstr>Detail_01-02</vt:lpstr>
      <vt:lpstr>Check</vt:lpstr>
      <vt:lpstr>'SumCalc_01-02'!_Age1</vt:lpstr>
      <vt:lpstr>'SumCalc_01-02'!_Age2</vt:lpstr>
      <vt:lpstr>'SumCalc_01-02'!_Age8</vt:lpstr>
      <vt:lpstr>NotRetired0102</vt:lpstr>
      <vt:lpstr>'01Retirees'!Print_Area</vt:lpstr>
      <vt:lpstr>AssumLegend!Print_Area</vt:lpstr>
      <vt:lpstr>Assumptions!Print_Area</vt:lpstr>
      <vt:lpstr>'Detail_01-02'!Print_Area</vt:lpstr>
      <vt:lpstr>LegendSumCalc!Print_Area</vt:lpstr>
      <vt:lpstr>'SumCalc_01-02'!Print_Area</vt:lpstr>
      <vt:lpstr>'Detail_01-02'!Print_Titles</vt:lpstr>
      <vt:lpstr>'SumCalc_01-02'!Print_Titles</vt:lpstr>
      <vt:lpstr>'SumCalc_01-02'!Tier1</vt:lpstr>
      <vt:lpstr>'SumCalc_01-02'!Tier10</vt:lpstr>
      <vt:lpstr>'SumCalc_01-02'!Tier11</vt:lpstr>
      <vt:lpstr>'SumCalc_01-02'!Tier2</vt:lpstr>
      <vt:lpstr>'SumCalc_01-02'!Tier3</vt:lpstr>
      <vt:lpstr>'SumCalc_01-02'!Tier4</vt:lpstr>
      <vt:lpstr>'SumCalc_01-02'!Tier5</vt:lpstr>
      <vt:lpstr>'SumCalc_01-02'!Tier6</vt:lpstr>
      <vt:lpstr>'SumCalc_01-02'!Tier7</vt:lpstr>
      <vt:lpstr>'SumCalc_01-02'!Tier8</vt:lpstr>
      <vt:lpstr>'SumCalc_01-02'!Tier9</vt:lpstr>
      <vt:lpstr>'SumCalc_01-02'!TierA1</vt:lpstr>
      <vt:lpstr>'SumCalc_01-02'!TierA10</vt:lpstr>
      <vt:lpstr>'SumCalc_01-02'!TierA11</vt:lpstr>
      <vt:lpstr>'SumCalc_01-02'!TierA2</vt:lpstr>
      <vt:lpstr>'SumCalc_01-02'!TierA3</vt:lpstr>
      <vt:lpstr>'SumCalc_01-02'!TierA4</vt:lpstr>
      <vt:lpstr>'SumCalc_01-02'!TierA5</vt:lpstr>
      <vt:lpstr>'SumCalc_01-02'!TierA6</vt:lpstr>
      <vt:lpstr>'SumCalc_01-02'!TierA7</vt:lpstr>
      <vt:lpstr>'SumCalc_01-02'!TierA8</vt:lpstr>
      <vt:lpstr>'SumCalc_01-02'!TierA9</vt:lpstr>
      <vt:lpstr>'SumCalc_01-02'!TierB1</vt:lpstr>
      <vt:lpstr>'SumCalc_01-02'!TierB10</vt:lpstr>
      <vt:lpstr>'SumCalc_01-02'!TierB11</vt:lpstr>
      <vt:lpstr>'SumCalc_01-02'!TierB2</vt:lpstr>
      <vt:lpstr>'SumCalc_01-02'!TierB3</vt:lpstr>
      <vt:lpstr>'SumCalc_01-02'!TierB4</vt:lpstr>
      <vt:lpstr>'SumCalc_01-02'!TierB5</vt:lpstr>
      <vt:lpstr>'SumCalc_01-02'!TierB6</vt:lpstr>
      <vt:lpstr>'SumCalc_01-02'!TierB7</vt:lpstr>
      <vt:lpstr>'SumCalc_01-02'!TierB8</vt:lpstr>
      <vt:lpstr>'SumCalc_01-02'!TierB9</vt:lpstr>
      <vt:lpstr>'SumCalc_01-02'!TierC1</vt:lpstr>
      <vt:lpstr>'SumCalc_01-02'!TierC10</vt:lpstr>
      <vt:lpstr>'SumCalc_01-02'!TierC11</vt:lpstr>
      <vt:lpstr>'SumCalc_01-02'!TierC2</vt:lpstr>
      <vt:lpstr>'SumCalc_01-02'!TierC3</vt:lpstr>
      <vt:lpstr>'SumCalc_01-02'!TierC4</vt:lpstr>
      <vt:lpstr>'SumCalc_01-02'!TierC5</vt:lpstr>
      <vt:lpstr>'SumCalc_01-02'!TierC6</vt:lpstr>
      <vt:lpstr>'SumCalc_01-02'!TierC7</vt:lpstr>
      <vt:lpstr>'SumCalc_01-02'!TierC8</vt:lpstr>
      <vt:lpstr>'SumCalc_01-02'!TierC9</vt:lpstr>
      <vt:lpstr>'SumCalc_01-02'!TierD1</vt:lpstr>
      <vt:lpstr>'SumCalc_01-02'!TierD10</vt:lpstr>
      <vt:lpstr>'SumCalc_01-02'!TierD11</vt:lpstr>
      <vt:lpstr>'SumCalc_01-02'!TierD2</vt:lpstr>
      <vt:lpstr>'SumCalc_01-02'!TierD3</vt:lpstr>
      <vt:lpstr>'SumCalc_01-02'!TierD4</vt:lpstr>
      <vt:lpstr>'SumCalc_01-02'!TierD5</vt:lpstr>
      <vt:lpstr>'SumCalc_01-02'!TierD6</vt:lpstr>
      <vt:lpstr>'SumCalc_01-02'!TierD7</vt:lpstr>
      <vt:lpstr>'SumCalc_01-02'!TierD8</vt:lpstr>
      <vt:lpstr>'SumCalc_01-02'!TierD9</vt:lpstr>
      <vt:lpstr>'SumCalc_01-02'!TierE1</vt:lpstr>
      <vt:lpstr>'SumCalc_01-02'!TierE10</vt:lpstr>
      <vt:lpstr>'SumCalc_01-02'!TierE11</vt:lpstr>
      <vt:lpstr>'SumCalc_01-02'!TierE2</vt:lpstr>
      <vt:lpstr>'SumCalc_01-02'!TierE3</vt:lpstr>
      <vt:lpstr>'SumCalc_01-02'!TierE4</vt:lpstr>
      <vt:lpstr>'SumCalc_01-02'!TierE5</vt:lpstr>
      <vt:lpstr>'SumCalc_01-02'!TierE6</vt:lpstr>
      <vt:lpstr>'SumCalc_01-02'!TierE7</vt:lpstr>
      <vt:lpstr>'SumCalc_01-02'!TierE8</vt:lpstr>
      <vt:lpstr>'SumCalc_01-02'!TierE9</vt:lpstr>
      <vt:lpstr>'SumCalc_01-02'!TierF1</vt:lpstr>
      <vt:lpstr>'SumCalc_01-02'!TierF10</vt:lpstr>
      <vt:lpstr>'SumCalc_01-02'!TierF11</vt:lpstr>
      <vt:lpstr>'SumCalc_01-02'!TierF2</vt:lpstr>
      <vt:lpstr>'SumCalc_01-02'!TierF3</vt:lpstr>
      <vt:lpstr>'SumCalc_01-02'!TierF4</vt:lpstr>
      <vt:lpstr>'SumCalc_01-02'!TierF5</vt:lpstr>
      <vt:lpstr>'SumCalc_01-02'!TierF6</vt:lpstr>
      <vt:lpstr>'SumCalc_01-02'!TierF7</vt:lpstr>
      <vt:lpstr>'SumCalc_01-02'!TierF8</vt:lpstr>
      <vt:lpstr>'SumCalc_01-02'!TierF9</vt:lpstr>
      <vt:lpstr>'SumCalc_01-02'!TierG1</vt:lpstr>
      <vt:lpstr>'SumCalc_01-02'!TierG10</vt:lpstr>
      <vt:lpstr>'SumCalc_01-02'!TierG11</vt:lpstr>
      <vt:lpstr>'SumCalc_01-02'!TierG2</vt:lpstr>
      <vt:lpstr>'SumCalc_01-02'!TierG3</vt:lpstr>
      <vt:lpstr>'SumCalc_01-02'!TierG4</vt:lpstr>
      <vt:lpstr>'SumCalc_01-02'!TierG5</vt:lpstr>
      <vt:lpstr>'SumCalc_01-02'!TierG6</vt:lpstr>
      <vt:lpstr>'SumCalc_01-02'!TierG7</vt:lpstr>
      <vt:lpstr>'SumCalc_01-02'!TierG8</vt:lpstr>
      <vt:lpstr>'SumCalc_01-02'!TierG9</vt:lpstr>
      <vt:lpstr>'01Retirees'!Twenty</vt:lpstr>
    </vt:vector>
  </TitlesOfParts>
  <Company>St. Louis Symphony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jfraser@ywcastlouis.org</dc:creator>
  <cp:lastModifiedBy>John Fraser</cp:lastModifiedBy>
  <cp:lastPrinted>2001-09-08T03:58:26Z</cp:lastPrinted>
  <dcterms:created xsi:type="dcterms:W3CDTF">1998-09-18T21:13:03Z</dcterms:created>
  <dcterms:modified xsi:type="dcterms:W3CDTF">2020-08-11T09:35:35Z</dcterms:modified>
</cp:coreProperties>
</file>