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rhsa\Documents\On_A_Stick\LLC Algae App\Lake Utah\"/>
    </mc:Choice>
  </mc:AlternateContent>
  <bookViews>
    <workbookView xWindow="0" yWindow="0" windowWidth="28800" windowHeight="14595"/>
  </bookViews>
  <sheets>
    <sheet name="Tabelle3" sheetId="1" r:id="rId1"/>
    <sheet name="Tabelle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7" i="1" l="1"/>
  <c r="I76" i="1"/>
  <c r="I75" i="1"/>
  <c r="I73" i="1"/>
  <c r="I72" i="1"/>
  <c r="I71" i="1"/>
  <c r="I69" i="1"/>
  <c r="I68" i="1"/>
  <c r="I67" i="1"/>
  <c r="I65" i="1"/>
  <c r="I64" i="1"/>
  <c r="I63" i="1"/>
  <c r="I61" i="1"/>
  <c r="H57" i="1"/>
  <c r="F40" i="1"/>
  <c r="F50" i="1"/>
  <c r="F38" i="1" l="1"/>
  <c r="I51" i="1"/>
  <c r="I52" i="1"/>
  <c r="I50" i="1"/>
  <c r="I47" i="1"/>
  <c r="I48" i="1"/>
  <c r="I46" i="1"/>
  <c r="I43" i="1"/>
  <c r="I44" i="1"/>
  <c r="I42" i="1"/>
  <c r="H51" i="1"/>
  <c r="H52" i="1"/>
  <c r="H50" i="1"/>
  <c r="H47" i="1"/>
  <c r="H48" i="1"/>
  <c r="H46" i="1"/>
  <c r="H43" i="1"/>
  <c r="H44" i="1"/>
  <c r="H42" i="1"/>
  <c r="G51" i="1"/>
  <c r="G52" i="1"/>
  <c r="G50" i="1"/>
  <c r="G47" i="1"/>
  <c r="G48" i="1"/>
  <c r="G46" i="1"/>
  <c r="G43" i="1"/>
  <c r="G44" i="1"/>
  <c r="G42" i="1"/>
  <c r="F51" i="1"/>
  <c r="F52" i="1"/>
  <c r="F47" i="1"/>
  <c r="F48" i="1"/>
  <c r="F46" i="1"/>
  <c r="F43" i="1"/>
  <c r="F44" i="1"/>
  <c r="F42" i="1"/>
  <c r="E52" i="1"/>
  <c r="E51" i="1"/>
  <c r="E50" i="1"/>
  <c r="E48" i="1"/>
  <c r="E47" i="1"/>
  <c r="E46" i="1"/>
  <c r="E44" i="1"/>
  <c r="E43" i="1"/>
  <c r="E42" i="1"/>
  <c r="D52" i="1"/>
  <c r="D51" i="1"/>
  <c r="D50" i="1"/>
  <c r="D48" i="1"/>
  <c r="D47" i="1"/>
  <c r="D46" i="1"/>
  <c r="D44" i="1"/>
  <c r="D43" i="1"/>
  <c r="D42" i="1"/>
  <c r="C52" i="1"/>
  <c r="C51" i="1"/>
  <c r="C50" i="1"/>
  <c r="C48" i="1"/>
  <c r="C47" i="1"/>
  <c r="C46" i="1"/>
  <c r="C43" i="1"/>
  <c r="C44" i="1"/>
  <c r="C42" i="1"/>
  <c r="J52" i="1"/>
  <c r="J51" i="1"/>
  <c r="J50" i="1"/>
  <c r="J48" i="1"/>
  <c r="J47" i="1"/>
  <c r="J46" i="1"/>
  <c r="J44" i="1"/>
  <c r="J43" i="1"/>
  <c r="J42" i="1"/>
  <c r="J40" i="1"/>
  <c r="J39" i="1"/>
  <c r="J38" i="1"/>
  <c r="I40" i="1"/>
  <c r="I39" i="1"/>
  <c r="I38" i="1"/>
  <c r="H40" i="1"/>
  <c r="H39" i="1"/>
  <c r="H38" i="1"/>
  <c r="G40" i="1"/>
  <c r="G39" i="1"/>
  <c r="G38" i="1"/>
  <c r="F39" i="1"/>
  <c r="E40" i="1"/>
  <c r="E39" i="1"/>
  <c r="E38" i="1"/>
  <c r="D40" i="1"/>
  <c r="D39" i="1"/>
  <c r="D38" i="1"/>
  <c r="C39" i="1"/>
  <c r="C40" i="1"/>
  <c r="C38" i="1"/>
  <c r="J36" i="1"/>
  <c r="I36" i="1"/>
  <c r="H36" i="1"/>
  <c r="G36" i="1"/>
  <c r="F36" i="1"/>
  <c r="E36" i="1"/>
  <c r="D36" i="1"/>
  <c r="C36" i="1"/>
  <c r="J27" i="1" l="1"/>
  <c r="J28" i="1"/>
  <c r="J29" i="1"/>
  <c r="J31" i="1"/>
  <c r="A17" i="1" l="1"/>
  <c r="D16" i="1"/>
  <c r="A5" i="1" s="1"/>
  <c r="D12" i="1"/>
  <c r="A7" i="1" s="1"/>
  <c r="A8" i="1" s="1"/>
  <c r="J10" i="1"/>
  <c r="J12" i="1" s="1"/>
  <c r="J14" i="1" s="1"/>
  <c r="J16" i="1" s="1"/>
  <c r="J18" i="1" s="1"/>
</calcChain>
</file>

<file path=xl/sharedStrings.xml><?xml version="1.0" encoding="utf-8"?>
<sst xmlns="http://schemas.openxmlformats.org/spreadsheetml/2006/main" count="116" uniqueCount="56">
  <si>
    <t>Umrechnung von mm/d und m^2 auf m^3/Jahr und See</t>
  </si>
  <si>
    <t>mm/d und m^2</t>
  </si>
  <si>
    <t>mm/jahr und m^2</t>
  </si>
  <si>
    <t>mm/jahr und See</t>
  </si>
  <si>
    <t>Liter und See</t>
  </si>
  <si>
    <t>m^3 auf See</t>
  </si>
  <si>
    <t>acer-feet</t>
  </si>
  <si>
    <t>mm/d</t>
  </si>
  <si>
    <t>Verdunstung pro Tag und m^2</t>
  </si>
  <si>
    <t>*365</t>
  </si>
  <si>
    <t>mm</t>
  </si>
  <si>
    <t>mm/m^2</t>
  </si>
  <si>
    <t>mm/Jahr</t>
  </si>
  <si>
    <t>Verdunstung pro Jahr und m^2</t>
  </si>
  <si>
    <t>m</t>
  </si>
  <si>
    <t>Liter</t>
  </si>
  <si>
    <t>*380000000</t>
  </si>
  <si>
    <t>m^3</t>
  </si>
  <si>
    <t>mm/Jahr auf dem ganzen See</t>
  </si>
  <si>
    <t>km^2</t>
  </si>
  <si>
    <t>Liter/Jahr auf dem ganzen See</t>
  </si>
  <si>
    <t>m^2</t>
  </si>
  <si>
    <t>:1000</t>
  </si>
  <si>
    <t>See</t>
  </si>
  <si>
    <t>m^3 pro Jahr auf dem ganzen See</t>
  </si>
  <si>
    <t>:1233,48</t>
  </si>
  <si>
    <t>Evaporation</t>
  </si>
  <si>
    <t>May</t>
  </si>
  <si>
    <t>June</t>
  </si>
  <si>
    <t>Juli</t>
  </si>
  <si>
    <t>August</t>
  </si>
  <si>
    <t>September</t>
  </si>
  <si>
    <t>October</t>
  </si>
  <si>
    <t>November</t>
  </si>
  <si>
    <r>
      <t>Season 2015  [m</t>
    </r>
    <r>
      <rPr>
        <b/>
        <vertAlign val="superscript"/>
        <sz val="9"/>
        <color theme="1"/>
        <rFont val="Calibri"/>
        <family val="2"/>
        <scheme val="minor"/>
      </rPr>
      <t>3</t>
    </r>
    <r>
      <rPr>
        <b/>
        <sz val="9"/>
        <color theme="1"/>
        <rFont val="Calibri"/>
        <family val="2"/>
        <scheme val="minor"/>
      </rPr>
      <t>]</t>
    </r>
  </si>
  <si>
    <r>
      <t>Estimate Season 2017 [m</t>
    </r>
    <r>
      <rPr>
        <b/>
        <vertAlign val="superscript"/>
        <sz val="9"/>
        <color theme="1"/>
        <rFont val="Calibri"/>
        <family val="2"/>
        <scheme val="minor"/>
      </rPr>
      <t>3</t>
    </r>
    <r>
      <rPr>
        <b/>
        <sz val="9"/>
        <color theme="1"/>
        <rFont val="Calibri"/>
        <family val="2"/>
        <scheme val="minor"/>
      </rPr>
      <t>]</t>
    </r>
  </si>
  <si>
    <t>Season 2015</t>
  </si>
  <si>
    <t>[acre feet]</t>
  </si>
  <si>
    <t>Estimate Season 2017</t>
  </si>
  <si>
    <t>Total</t>
  </si>
  <si>
    <t>+0.01°C</t>
  </si>
  <si>
    <t>rH  no change</t>
  </si>
  <si>
    <t>rH * 0.9</t>
  </si>
  <si>
    <t>rH * 1.1</t>
  </si>
  <si>
    <t>+0.1°C</t>
  </si>
  <si>
    <t>rH no change</t>
  </si>
  <si>
    <t>+1°C</t>
  </si>
  <si>
    <t>+10°C</t>
  </si>
  <si>
    <r>
      <t>Evaporation      [1000 m</t>
    </r>
    <r>
      <rPr>
        <b/>
        <vertAlign val="superscript"/>
        <sz val="8"/>
        <color theme="1"/>
        <rFont val="Calibri"/>
        <family val="2"/>
        <scheme val="minor"/>
      </rPr>
      <t>3</t>
    </r>
    <r>
      <rPr>
        <b/>
        <sz val="8"/>
        <color theme="1"/>
        <rFont val="Calibri"/>
        <family val="2"/>
        <scheme val="minor"/>
      </rPr>
      <t>]</t>
    </r>
  </si>
  <si>
    <r>
      <t>Evaporation [1000 m</t>
    </r>
    <r>
      <rPr>
        <b/>
        <vertAlign val="superscript"/>
        <sz val="8"/>
        <color theme="1"/>
        <rFont val="Calibri"/>
        <family val="2"/>
        <scheme val="minor"/>
      </rPr>
      <t>3</t>
    </r>
    <r>
      <rPr>
        <b/>
        <sz val="8"/>
        <color theme="1"/>
        <rFont val="Calibri"/>
        <family val="2"/>
        <scheme val="minor"/>
      </rPr>
      <t>]</t>
    </r>
  </si>
  <si>
    <r>
      <t>Lake Utah is a shallow freshwater lake of 39 km length and 21 km width with covering an area of about 380 km² with a mean depth of 3.2 m, lake volume 870.000 acre feet (1.07×10</t>
    </r>
    <r>
      <rPr>
        <vertAlign val="super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> 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) (Jackson and Stevens, 1981). </t>
    </r>
  </si>
  <si>
    <t>Lake Volume</t>
  </si>
  <si>
    <t>acre feet</t>
  </si>
  <si>
    <r>
      <t>Evaporation     [1000 m</t>
    </r>
    <r>
      <rPr>
        <b/>
        <vertAlign val="superscript"/>
        <sz val="8"/>
        <color theme="1"/>
        <rFont val="Calibri"/>
        <family val="2"/>
        <scheme val="minor"/>
      </rPr>
      <t>3</t>
    </r>
    <r>
      <rPr>
        <b/>
        <sz val="8"/>
        <color theme="1"/>
        <rFont val="Calibri"/>
        <family val="2"/>
        <scheme val="minor"/>
      </rPr>
      <t>]</t>
    </r>
  </si>
  <si>
    <r>
      <t>1000 m</t>
    </r>
    <r>
      <rPr>
        <vertAlign val="superscript"/>
        <sz val="12"/>
        <color theme="1"/>
        <rFont val="Calibri"/>
        <family val="2"/>
        <scheme val="minor"/>
      </rPr>
      <t>3</t>
    </r>
  </si>
  <si>
    <t>% of Lake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</si>
</sst>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#,##0.000"/>
    <numFmt numFmtId="166" formatCode="#,##0.0000000000000"/>
    <numFmt numFmtId="167" formatCode="[$-F400]h:mm:ss\ AM/PM"/>
  </numFmts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vertAlign val="superscript"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7"/>
      <color rgb="FF000000"/>
      <name val="Calibri"/>
      <family val="2"/>
      <scheme val="minor"/>
    </font>
    <font>
      <b/>
      <vertAlign val="superscript"/>
      <sz val="8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quotePrefix="1"/>
    <xf numFmtId="3" fontId="3" fillId="0" borderId="0" xfId="0" applyNumberFormat="1" applyFont="1"/>
    <xf numFmtId="0" fontId="0" fillId="2" borderId="1" xfId="0" applyFill="1" applyBorder="1"/>
    <xf numFmtId="164" fontId="0" fillId="2" borderId="1" xfId="0" applyNumberFormat="1" applyFill="1" applyBorder="1"/>
    <xf numFmtId="2" fontId="0" fillId="2" borderId="1" xfId="0" applyNumberFormat="1" applyFill="1" applyBorder="1"/>
    <xf numFmtId="1" fontId="0" fillId="2" borderId="1" xfId="0" applyNumberFormat="1" applyFill="1" applyBorder="1"/>
    <xf numFmtId="165" fontId="3" fillId="0" borderId="0" xfId="0" applyNumberFormat="1" applyFont="1"/>
    <xf numFmtId="166" fontId="3" fillId="0" borderId="0" xfId="0" applyNumberFormat="1" applyFont="1"/>
    <xf numFmtId="4" fontId="0" fillId="0" borderId="0" xfId="0" applyNumberFormat="1"/>
    <xf numFmtId="167" fontId="0" fillId="0" borderId="0" xfId="0" applyNumberFormat="1"/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3" fontId="7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3" fontId="11" fillId="0" borderId="5" xfId="0" applyNumberFormat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3" fontId="7" fillId="0" borderId="9" xfId="0" applyNumberFormat="1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/>
    <xf numFmtId="3" fontId="0" fillId="0" borderId="1" xfId="0" applyNumberFormat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3" fontId="7" fillId="0" borderId="7" xfId="0" applyNumberFormat="1" applyFont="1" applyBorder="1" applyAlignment="1">
      <alignment horizontal="center" vertical="center" wrapText="1"/>
    </xf>
    <xf numFmtId="3" fontId="7" fillId="0" borderId="4" xfId="0" applyNumberFormat="1" applyFont="1" applyBorder="1" applyAlignment="1">
      <alignment horizontal="center" vertical="center" wrapText="1"/>
    </xf>
    <xf numFmtId="1" fontId="0" fillId="0" borderId="12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3" fontId="7" fillId="0" borderId="10" xfId="0" applyNumberFormat="1" applyFont="1" applyBorder="1" applyAlignment="1">
      <alignment horizontal="center" vertical="center" wrapText="1"/>
    </xf>
    <xf numFmtId="3" fontId="7" fillId="0" borderId="11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64588801399825E-2"/>
          <c:y val="0.19073272090988627"/>
          <c:w val="0.77646522309711297"/>
          <c:h val="0.743503207932341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Tabelle3!$M$34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Tabelle3!$L$35:$L$52</c:f>
              <c:strCache>
                <c:ptCount val="18"/>
                <c:pt idx="1">
                  <c:v>Estimate Season 2017</c:v>
                </c:pt>
                <c:pt idx="2">
                  <c:v>+0.01°C</c:v>
                </c:pt>
                <c:pt idx="3">
                  <c:v>rH  no change</c:v>
                </c:pt>
                <c:pt idx="4">
                  <c:v>rH * 0.9</c:v>
                </c:pt>
                <c:pt idx="5">
                  <c:v>rH * 1.1</c:v>
                </c:pt>
                <c:pt idx="6">
                  <c:v>+0.1°C</c:v>
                </c:pt>
                <c:pt idx="7">
                  <c:v>rH no change</c:v>
                </c:pt>
                <c:pt idx="8">
                  <c:v>rH * 0.9</c:v>
                </c:pt>
                <c:pt idx="9">
                  <c:v>rH * 1.1</c:v>
                </c:pt>
                <c:pt idx="10">
                  <c:v>+1°C</c:v>
                </c:pt>
                <c:pt idx="11">
                  <c:v>rH no change</c:v>
                </c:pt>
                <c:pt idx="12">
                  <c:v>rH * 0.9</c:v>
                </c:pt>
                <c:pt idx="13">
                  <c:v>rH * 1.1</c:v>
                </c:pt>
                <c:pt idx="14">
                  <c:v>+10°C</c:v>
                </c:pt>
                <c:pt idx="15">
                  <c:v>rH no change</c:v>
                </c:pt>
                <c:pt idx="16">
                  <c:v>rH * 0.9</c:v>
                </c:pt>
                <c:pt idx="17">
                  <c:v>rH * 1.1</c:v>
                </c:pt>
              </c:strCache>
            </c:strRef>
          </c:cat>
          <c:val>
            <c:numRef>
              <c:f>Tabelle3!$M$35:$M$52</c:f>
              <c:numCache>
                <c:formatCode>0</c:formatCode>
                <c:ptCount val="18"/>
                <c:pt idx="1">
                  <c:v>-388240.87533175072</c:v>
                </c:pt>
                <c:pt idx="3">
                  <c:v>-388200.17043111165</c:v>
                </c:pt>
                <c:pt idx="4">
                  <c:v>-417644.61537520803</c:v>
                </c:pt>
                <c:pt idx="5">
                  <c:v>-358755.72548701533</c:v>
                </c:pt>
                <c:pt idx="7">
                  <c:v>-390346.42882844433</c:v>
                </c:pt>
                <c:pt idx="8">
                  <c:v>-419956.16033877205</c:v>
                </c:pt>
                <c:pt idx="9">
                  <c:v>-360736.69731811661</c:v>
                </c:pt>
                <c:pt idx="11">
                  <c:v>-412381.34837439284</c:v>
                </c:pt>
                <c:pt idx="12">
                  <c:v>-443685.88392951089</c:v>
                </c:pt>
                <c:pt idx="13">
                  <c:v>-381076.81281927484</c:v>
                </c:pt>
                <c:pt idx="15">
                  <c:v>-699819.62097808684</c:v>
                </c:pt>
                <c:pt idx="16">
                  <c:v>-753346.56531846058</c:v>
                </c:pt>
                <c:pt idx="17">
                  <c:v>-646293.91011955054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2F-4CDF-B9BA-F4E6AB059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479261504"/>
        <c:axId val="479256928"/>
      </c:barChart>
      <c:catAx>
        <c:axId val="479261504"/>
        <c:scaling>
          <c:orientation val="maxMin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solidFill>
                      <a:schemeClr val="tx1"/>
                    </a:solidFill>
                  </a:rPr>
                  <a:t>Change Impact</a:t>
                </a:r>
              </a:p>
            </c:rich>
          </c:tx>
          <c:layout>
            <c:manualLayout>
              <c:xMode val="edge"/>
              <c:yMode val="edge"/>
              <c:x val="0.9555555555555556"/>
              <c:y val="0.374749198016914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in"/>
        <c:minorTickMark val="none"/>
        <c:tickLblPos val="nextTo"/>
        <c:crossAx val="479256928"/>
        <c:crosses val="autoZero"/>
        <c:auto val="1"/>
        <c:lblAlgn val="ctr"/>
        <c:lblOffset val="100"/>
        <c:noMultiLvlLbl val="0"/>
      </c:catAx>
      <c:valAx>
        <c:axId val="4792569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solidFill>
                      <a:schemeClr val="tx1"/>
                    </a:solidFill>
                  </a:rPr>
                  <a:t>Evaporation [1000 m</a:t>
                </a:r>
                <a:r>
                  <a:rPr lang="de-DE" baseline="30000">
                    <a:solidFill>
                      <a:schemeClr val="tx1"/>
                    </a:solidFill>
                  </a:rPr>
                  <a:t>3</a:t>
                </a:r>
                <a:r>
                  <a:rPr lang="de-DE">
                    <a:solidFill>
                      <a:schemeClr val="tx1"/>
                    </a:solidFill>
                  </a:rPr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926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95249</xdr:colOff>
      <xdr:row>33</xdr:row>
      <xdr:rowOff>26192</xdr:rowOff>
    </xdr:from>
    <xdr:to>
      <xdr:col>18</xdr:col>
      <xdr:colOff>476249</xdr:colOff>
      <xdr:row>46</xdr:row>
      <xdr:rowOff>73817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abSelected="1" topLeftCell="D52" workbookViewId="0">
      <selection activeCell="L64" sqref="L64"/>
    </sheetView>
  </sheetViews>
  <sheetFormatPr baseColWidth="10" defaultRowHeight="15.75" x14ac:dyDescent="0.5"/>
  <cols>
    <col min="1" max="1" width="21.25" customWidth="1"/>
    <col min="10" max="10" width="18.875" style="3" customWidth="1"/>
  </cols>
  <sheetData>
    <row r="1" spans="1:12" x14ac:dyDescent="0.5">
      <c r="A1" s="1" t="s">
        <v>0</v>
      </c>
      <c r="C1" s="2"/>
      <c r="D1" s="2"/>
      <c r="E1" s="2"/>
      <c r="F1" s="2"/>
      <c r="G1" s="2"/>
      <c r="H1" s="2"/>
    </row>
    <row r="2" spans="1:12" x14ac:dyDescent="0.5">
      <c r="A2" s="1"/>
      <c r="C2" s="2"/>
      <c r="D2" s="2"/>
      <c r="E2" s="2"/>
      <c r="F2" s="2"/>
      <c r="G2" s="2"/>
      <c r="H2" s="2"/>
    </row>
    <row r="3" spans="1:12" x14ac:dyDescent="0.5">
      <c r="A3" s="3">
        <v>1</v>
      </c>
      <c r="B3" t="s">
        <v>1</v>
      </c>
      <c r="C3" s="2"/>
    </row>
    <row r="4" spans="1:12" x14ac:dyDescent="0.5">
      <c r="A4" s="3">
        <v>365</v>
      </c>
      <c r="B4" t="s">
        <v>2</v>
      </c>
      <c r="C4" s="2"/>
    </row>
    <row r="5" spans="1:12" x14ac:dyDescent="0.5">
      <c r="A5" s="3">
        <f>A4*D16</f>
        <v>138700000000</v>
      </c>
      <c r="B5" t="s">
        <v>3</v>
      </c>
      <c r="C5" s="2"/>
    </row>
    <row r="6" spans="1:12" x14ac:dyDescent="0.5">
      <c r="A6" s="3">
        <v>138700000000</v>
      </c>
      <c r="B6" t="s">
        <v>4</v>
      </c>
      <c r="C6" s="2"/>
      <c r="D6" s="2"/>
      <c r="E6" s="2"/>
      <c r="F6" s="2"/>
      <c r="G6" s="2"/>
      <c r="H6" s="2"/>
    </row>
    <row r="7" spans="1:12" x14ac:dyDescent="0.5">
      <c r="A7" s="2">
        <f>A6*D12</f>
        <v>138700000</v>
      </c>
      <c r="B7" t="s">
        <v>5</v>
      </c>
      <c r="C7" s="2"/>
      <c r="D7" s="2"/>
      <c r="E7" s="2"/>
      <c r="F7" s="2"/>
      <c r="G7" s="2"/>
      <c r="H7" s="2"/>
    </row>
    <row r="8" spans="1:12" x14ac:dyDescent="0.5">
      <c r="A8" s="2">
        <f>A7/1233.48</f>
        <v>112446.08749229822</v>
      </c>
      <c r="B8" t="s">
        <v>6</v>
      </c>
      <c r="C8" s="2"/>
      <c r="D8" s="2"/>
      <c r="E8" s="2"/>
      <c r="F8" s="2"/>
      <c r="G8" s="2"/>
      <c r="H8" s="2"/>
      <c r="J8" s="4">
        <v>1</v>
      </c>
      <c r="K8" t="s">
        <v>7</v>
      </c>
      <c r="L8" t="s">
        <v>8</v>
      </c>
    </row>
    <row r="9" spans="1:12" x14ac:dyDescent="0.5">
      <c r="I9" s="5" t="s">
        <v>9</v>
      </c>
      <c r="J9" s="6">
        <v>365</v>
      </c>
    </row>
    <row r="10" spans="1:12" x14ac:dyDescent="0.5">
      <c r="A10" s="7">
        <v>1</v>
      </c>
      <c r="B10" s="7" t="s">
        <v>10</v>
      </c>
      <c r="D10" s="8">
        <v>1</v>
      </c>
      <c r="E10" s="9" t="s">
        <v>11</v>
      </c>
      <c r="J10" s="4">
        <f>J8*J9</f>
        <v>365</v>
      </c>
      <c r="K10" t="s">
        <v>12</v>
      </c>
      <c r="L10" t="s">
        <v>13</v>
      </c>
    </row>
    <row r="11" spans="1:12" x14ac:dyDescent="0.5">
      <c r="A11" s="7">
        <v>1E-3</v>
      </c>
      <c r="B11" s="7" t="s">
        <v>14</v>
      </c>
      <c r="D11" s="8">
        <v>1</v>
      </c>
      <c r="E11" s="9" t="s">
        <v>15</v>
      </c>
      <c r="I11" s="5" t="s">
        <v>16</v>
      </c>
      <c r="J11" s="6">
        <v>380000000</v>
      </c>
    </row>
    <row r="12" spans="1:12" x14ac:dyDescent="0.5">
      <c r="D12" s="8">
        <f>1/1000</f>
        <v>1E-3</v>
      </c>
      <c r="E12" s="9" t="s">
        <v>17</v>
      </c>
      <c r="J12" s="4">
        <f>J11*J10</f>
        <v>138700000000</v>
      </c>
      <c r="K12" t="s">
        <v>18</v>
      </c>
    </row>
    <row r="13" spans="1:12" x14ac:dyDescent="0.5">
      <c r="A13" s="7">
        <v>1</v>
      </c>
      <c r="B13" s="7" t="s">
        <v>6</v>
      </c>
      <c r="J13" s="6">
        <v>1</v>
      </c>
    </row>
    <row r="14" spans="1:12" x14ac:dyDescent="0.5">
      <c r="A14" s="7">
        <v>1233.48</v>
      </c>
      <c r="B14" s="7" t="s">
        <v>17</v>
      </c>
      <c r="D14" s="10">
        <v>380</v>
      </c>
      <c r="E14" s="9" t="s">
        <v>19</v>
      </c>
      <c r="F14" s="9"/>
      <c r="J14" s="4">
        <f>J13*J12</f>
        <v>138700000000</v>
      </c>
      <c r="K14" t="s">
        <v>20</v>
      </c>
    </row>
    <row r="15" spans="1:12" x14ac:dyDescent="0.5">
      <c r="D15" s="10">
        <v>380</v>
      </c>
      <c r="E15" s="10">
        <v>1000000</v>
      </c>
      <c r="F15" s="9" t="s">
        <v>21</v>
      </c>
      <c r="I15" s="5" t="s">
        <v>22</v>
      </c>
      <c r="J15" s="11">
        <v>1E-3</v>
      </c>
    </row>
    <row r="16" spans="1:12" x14ac:dyDescent="0.5">
      <c r="A16" s="7">
        <v>1</v>
      </c>
      <c r="B16" s="7" t="s">
        <v>17</v>
      </c>
      <c r="D16" s="10">
        <f>D15*E15</f>
        <v>380000000</v>
      </c>
      <c r="E16" s="9" t="s">
        <v>21</v>
      </c>
      <c r="F16" s="9" t="s">
        <v>23</v>
      </c>
      <c r="J16" s="4">
        <f>J15*J14</f>
        <v>138700000</v>
      </c>
      <c r="K16" t="s">
        <v>24</v>
      </c>
    </row>
    <row r="17" spans="1:11" x14ac:dyDescent="0.5">
      <c r="A17" s="7">
        <f>1/1233.48</f>
        <v>8.1071440153062876E-4</v>
      </c>
      <c r="B17" s="7" t="s">
        <v>6</v>
      </c>
      <c r="I17" t="s">
        <v>25</v>
      </c>
      <c r="J17" s="12">
        <v>8.1071440153062876E-4</v>
      </c>
    </row>
    <row r="18" spans="1:11" x14ac:dyDescent="0.5">
      <c r="J18" s="13">
        <f>J16*J17</f>
        <v>112446.0874922982</v>
      </c>
      <c r="K18" t="s">
        <v>6</v>
      </c>
    </row>
    <row r="22" spans="1:11" x14ac:dyDescent="0.5">
      <c r="J22" s="14">
        <v>0.04</v>
      </c>
    </row>
    <row r="25" spans="1:11" ht="16.149999999999999" thickBot="1" x14ac:dyDescent="0.55000000000000004"/>
    <row r="26" spans="1:11" ht="16.149999999999999" thickBot="1" x14ac:dyDescent="0.55000000000000004">
      <c r="B26" s="15" t="s">
        <v>26</v>
      </c>
      <c r="C26" s="16" t="s">
        <v>27</v>
      </c>
      <c r="D26" s="16" t="s">
        <v>28</v>
      </c>
      <c r="E26" s="16" t="s">
        <v>29</v>
      </c>
      <c r="F26" s="16" t="s">
        <v>30</v>
      </c>
      <c r="G26" s="16" t="s">
        <v>31</v>
      </c>
      <c r="H26" s="16" t="s">
        <v>32</v>
      </c>
      <c r="I26" s="23" t="s">
        <v>33</v>
      </c>
      <c r="J26" s="25" t="s">
        <v>39</v>
      </c>
    </row>
    <row r="27" spans="1:11" ht="25.15" thickBot="1" x14ac:dyDescent="0.55000000000000004">
      <c r="B27" s="17" t="s">
        <v>34</v>
      </c>
      <c r="C27" s="18">
        <v>50325984</v>
      </c>
      <c r="D27" s="18">
        <v>65127744</v>
      </c>
      <c r="E27" s="18">
        <v>77215848</v>
      </c>
      <c r="F27" s="18">
        <v>69691620</v>
      </c>
      <c r="G27" s="18">
        <v>48969156</v>
      </c>
      <c r="H27" s="18">
        <v>32933916</v>
      </c>
      <c r="I27" s="24">
        <v>18132156</v>
      </c>
      <c r="J27" s="25">
        <f>SUM(C27:I27)</f>
        <v>362396424</v>
      </c>
    </row>
    <row r="28" spans="1:11" ht="25.15" thickBot="1" x14ac:dyDescent="0.55000000000000004">
      <c r="B28" s="17" t="s">
        <v>35</v>
      </c>
      <c r="C28" s="18">
        <v>43027561</v>
      </c>
      <c r="D28" s="18">
        <v>70336664</v>
      </c>
      <c r="E28" s="18">
        <v>89486266</v>
      </c>
      <c r="F28" s="18">
        <v>84467251</v>
      </c>
      <c r="G28" s="18">
        <v>54484711</v>
      </c>
      <c r="H28" s="18">
        <v>32679754</v>
      </c>
      <c r="I28" s="24">
        <v>13479644</v>
      </c>
      <c r="J28" s="25">
        <f t="shared" ref="J28:J31" si="0">SUM(C28:I28)</f>
        <v>387961851</v>
      </c>
    </row>
    <row r="29" spans="1:11" x14ac:dyDescent="0.5">
      <c r="B29" s="19" t="s">
        <v>36</v>
      </c>
      <c r="C29" s="38">
        <v>-40800</v>
      </c>
      <c r="D29" s="38">
        <v>-52800</v>
      </c>
      <c r="E29" s="38">
        <v>-62600</v>
      </c>
      <c r="F29" s="38">
        <v>-56500</v>
      </c>
      <c r="G29" s="38">
        <v>-39700</v>
      </c>
      <c r="H29" s="38">
        <v>-26700</v>
      </c>
      <c r="I29" s="42">
        <v>-14700</v>
      </c>
      <c r="J29" s="40">
        <f t="shared" si="0"/>
        <v>-293800</v>
      </c>
    </row>
    <row r="30" spans="1:11" ht="16.149999999999999" thickBot="1" x14ac:dyDescent="0.55000000000000004">
      <c r="B30" s="17" t="s">
        <v>37</v>
      </c>
      <c r="C30" s="39"/>
      <c r="D30" s="39"/>
      <c r="E30" s="39"/>
      <c r="F30" s="39"/>
      <c r="G30" s="39"/>
      <c r="H30" s="39"/>
      <c r="I30" s="43"/>
      <c r="J30" s="41"/>
    </row>
    <row r="31" spans="1:11" ht="23.25" x14ac:dyDescent="0.5">
      <c r="B31" s="19" t="s">
        <v>38</v>
      </c>
      <c r="C31" s="38">
        <v>-34930</v>
      </c>
      <c r="D31" s="38">
        <v>-57201</v>
      </c>
      <c r="E31" s="38">
        <v>-72548</v>
      </c>
      <c r="F31" s="38">
        <v>-68479</v>
      </c>
      <c r="G31" s="38">
        <v>-44172</v>
      </c>
      <c r="H31" s="38">
        <v>-26494</v>
      </c>
      <c r="I31" s="42">
        <v>-10928</v>
      </c>
      <c r="J31" s="40">
        <f t="shared" si="0"/>
        <v>-314752</v>
      </c>
    </row>
    <row r="32" spans="1:11" ht="16.149999999999999" thickBot="1" x14ac:dyDescent="0.55000000000000004">
      <c r="B32" s="17" t="s">
        <v>37</v>
      </c>
      <c r="C32" s="39"/>
      <c r="D32" s="39"/>
      <c r="E32" s="39"/>
      <c r="F32" s="39"/>
      <c r="G32" s="39"/>
      <c r="H32" s="39"/>
      <c r="I32" s="43"/>
      <c r="J32" s="41"/>
    </row>
    <row r="33" spans="2:13" ht="16.149999999999999" thickBot="1" x14ac:dyDescent="0.55000000000000004"/>
    <row r="34" spans="2:13" ht="15.75" customHeight="1" x14ac:dyDescent="0.5">
      <c r="B34" s="44" t="s">
        <v>48</v>
      </c>
      <c r="C34" s="36" t="s">
        <v>27</v>
      </c>
      <c r="D34" s="36" t="s">
        <v>28</v>
      </c>
      <c r="E34" s="36" t="s">
        <v>29</v>
      </c>
      <c r="F34" s="36" t="s">
        <v>30</v>
      </c>
      <c r="G34" s="36" t="s">
        <v>31</v>
      </c>
      <c r="H34" s="36" t="s">
        <v>32</v>
      </c>
      <c r="I34" s="36" t="s">
        <v>33</v>
      </c>
      <c r="J34" s="36" t="s">
        <v>39</v>
      </c>
      <c r="L34" s="33" t="s">
        <v>49</v>
      </c>
      <c r="M34" s="35" t="s">
        <v>39</v>
      </c>
    </row>
    <row r="35" spans="2:13" ht="16.149999999999999" thickBot="1" x14ac:dyDescent="0.55000000000000004">
      <c r="B35" s="45"/>
      <c r="C35" s="37"/>
      <c r="D35" s="37"/>
      <c r="E35" s="37"/>
      <c r="F35" s="37"/>
      <c r="G35" s="37"/>
      <c r="H35" s="37"/>
      <c r="I35" s="37"/>
      <c r="J35" s="37"/>
      <c r="L35" s="34"/>
      <c r="M35" s="35"/>
    </row>
    <row r="36" spans="2:13" ht="19.149999999999999" thickBot="1" x14ac:dyDescent="0.55000000000000004">
      <c r="B36" s="20" t="s">
        <v>38</v>
      </c>
      <c r="C36" s="21">
        <f>-34930*1.2334818375475</f>
        <v>-43085.520585534177</v>
      </c>
      <c r="D36" s="21">
        <f>-57201*1.2334818375475</f>
        <v>-70556.394589554548</v>
      </c>
      <c r="E36" s="21">
        <f>-72548*1.2334818375475</f>
        <v>-89486.640350396032</v>
      </c>
      <c r="F36" s="21">
        <f>-68479*1.2334818375475</f>
        <v>-84467.602753415253</v>
      </c>
      <c r="G36" s="21">
        <f>-44172*1.2334818375475</f>
        <v>-54485.359728148171</v>
      </c>
      <c r="H36" s="21">
        <f>-26494*1.2334818375475</f>
        <v>-32679.867803983467</v>
      </c>
      <c r="I36" s="21">
        <f>-10928*1.2334818375475</f>
        <v>-13479.48952071908</v>
      </c>
      <c r="J36" s="21">
        <f>-314752*1.2334818375475</f>
        <v>-388240.87533175072</v>
      </c>
      <c r="L36" s="26" t="s">
        <v>38</v>
      </c>
      <c r="M36" s="25">
        <v>-388240.87533175072</v>
      </c>
    </row>
    <row r="37" spans="2:13" ht="16.149999999999999" thickBot="1" x14ac:dyDescent="0.55000000000000004">
      <c r="B37" s="20" t="s">
        <v>40</v>
      </c>
      <c r="C37" s="22"/>
      <c r="D37" s="22"/>
      <c r="E37" s="22"/>
      <c r="F37" s="22"/>
      <c r="G37" s="22"/>
      <c r="H37" s="22"/>
      <c r="I37" s="22"/>
      <c r="J37" s="22"/>
      <c r="L37" s="26" t="s">
        <v>40</v>
      </c>
      <c r="M37" s="25"/>
    </row>
    <row r="38" spans="2:13" ht="16.149999999999999" thickBot="1" x14ac:dyDescent="0.55000000000000004">
      <c r="B38" s="20" t="s">
        <v>41</v>
      </c>
      <c r="C38" s="21">
        <f>-34905*1.2334818375475</f>
        <v>-43054.683539595491</v>
      </c>
      <c r="D38" s="21">
        <f>-57058*1.2334818375475</f>
        <v>-70380.006686785258</v>
      </c>
      <c r="E38" s="21">
        <f>-72591*1.2334818375475</f>
        <v>-89539.680069410577</v>
      </c>
      <c r="F38" s="21">
        <f>-68520*1.2334818375475</f>
        <v>-84518.175508754706</v>
      </c>
      <c r="G38" s="21">
        <f>-44199*1.2334818375475</f>
        <v>-54518.663737761955</v>
      </c>
      <c r="H38" s="21">
        <f>-26511*1.2334818375475</f>
        <v>-32700.836995221773</v>
      </c>
      <c r="I38" s="21">
        <f>-10935*1.2334818375475</f>
        <v>-13488.123893581913</v>
      </c>
      <c r="J38" s="21">
        <f>-314719*1.2334818375475</f>
        <v>-388200.17043111165</v>
      </c>
      <c r="L38" s="26" t="s">
        <v>41</v>
      </c>
      <c r="M38" s="25">
        <v>-388200.17043111165</v>
      </c>
    </row>
    <row r="39" spans="2:13" ht="16.149999999999999" thickBot="1" x14ac:dyDescent="0.55000000000000004">
      <c r="B39" s="20" t="s">
        <v>42</v>
      </c>
      <c r="C39" s="21">
        <f>-37672*1.2334818375475</f>
        <v>-46467.727784089424</v>
      </c>
      <c r="D39" s="21">
        <f>-60737*1.2334818375475</f>
        <v>-74917.986367122518</v>
      </c>
      <c r="E39" s="21">
        <f>-77785*1.2334818375475</f>
        <v>-95946.384733632294</v>
      </c>
      <c r="F39" s="21">
        <f>-73259*1.2334818375475</f>
        <v>-90363.64593689231</v>
      </c>
      <c r="G39" s="21">
        <f>-48098*1.2334818375475</f>
        <v>-59328.009422359661</v>
      </c>
      <c r="H39" s="21">
        <f>-28808*1.2334818375475</f>
        <v>-35534.14477606838</v>
      </c>
      <c r="I39" s="21">
        <f>-12231*1.2334818375475</f>
        <v>-15086.716355043473</v>
      </c>
      <c r="J39" s="21">
        <f>-338590*1.2334818375475</f>
        <v>-417644.61537520803</v>
      </c>
      <c r="L39" s="26" t="s">
        <v>42</v>
      </c>
      <c r="M39" s="25">
        <v>-417644.61537520803</v>
      </c>
    </row>
    <row r="40" spans="2:13" ht="16.149999999999999" thickBot="1" x14ac:dyDescent="0.55000000000000004">
      <c r="B40" s="20" t="s">
        <v>43</v>
      </c>
      <c r="C40" s="21">
        <f>-32138*1.2334818375475</f>
        <v>-39641.639295101559</v>
      </c>
      <c r="D40" s="21">
        <f>-53379*1.2334818375475</f>
        <v>-65842.027006447999</v>
      </c>
      <c r="E40" s="21">
        <f>-67379*1.2334818375475</f>
        <v>-83110.772732113008</v>
      </c>
      <c r="F40" s="21">
        <f>-63780*1.2334818375475</f>
        <v>-78671.47159877955</v>
      </c>
      <c r="G40" s="21">
        <f>-40229*1.2334818375475</f>
        <v>-49621.740842698382</v>
      </c>
      <c r="H40" s="21">
        <f>-24215*1.2334818375475</f>
        <v>-29868.762696212714</v>
      </c>
      <c r="I40" s="21">
        <f>-9640*1.2334818375475</f>
        <v>-11890.764913957901</v>
      </c>
      <c r="J40" s="21">
        <f>-290848*1.2334818375475</f>
        <v>-358755.72548701533</v>
      </c>
      <c r="L40" s="26" t="s">
        <v>43</v>
      </c>
      <c r="M40" s="25">
        <v>-358755.72548701533</v>
      </c>
    </row>
    <row r="41" spans="2:13" ht="16.149999999999999" thickBot="1" x14ac:dyDescent="0.55000000000000004">
      <c r="B41" s="20" t="s">
        <v>44</v>
      </c>
      <c r="C41" s="22"/>
      <c r="D41" s="22"/>
      <c r="E41" s="22"/>
      <c r="F41" s="22"/>
      <c r="G41" s="22"/>
      <c r="H41" s="22"/>
      <c r="I41" s="22"/>
      <c r="J41" s="22"/>
      <c r="L41" s="26" t="s">
        <v>44</v>
      </c>
      <c r="M41" s="25"/>
    </row>
    <row r="42" spans="2:13" ht="16.149999999999999" thickBot="1" x14ac:dyDescent="0.55000000000000004">
      <c r="B42" s="20" t="s">
        <v>45</v>
      </c>
      <c r="C42" s="21">
        <f>-35104*1.2334818375475</f>
        <v>-43300.146425267441</v>
      </c>
      <c r="D42" s="21">
        <f>-57374*1.2334818375475</f>
        <v>-70769.786947450266</v>
      </c>
      <c r="E42" s="21">
        <f>-72980*1.2334818375475</f>
        <v>-90019.504504216558</v>
      </c>
      <c r="F42" s="21">
        <f>-68888*1.2334818375475</f>
        <v>-84972.096824972192</v>
      </c>
      <c r="G42" s="21">
        <f>-44442*1.2334818375475</f>
        <v>-54818.399824285996</v>
      </c>
      <c r="H42" s="21">
        <f>-26669*1.2334818375475</f>
        <v>-32895.72712555428</v>
      </c>
      <c r="I42" s="21">
        <f>-11002*1.2334818375475</f>
        <v>-13570.767176697596</v>
      </c>
      <c r="J42" s="21">
        <f>-316459*1.2334818375475</f>
        <v>-390346.42882844433</v>
      </c>
      <c r="L42" s="26" t="s">
        <v>45</v>
      </c>
      <c r="M42" s="25">
        <v>-390346.42882844433</v>
      </c>
    </row>
    <row r="43" spans="2:13" ht="16.149999999999999" thickBot="1" x14ac:dyDescent="0.55000000000000004">
      <c r="B43" s="20" t="s">
        <v>42</v>
      </c>
      <c r="C43" s="21">
        <f>-37888*1.2334818375475</f>
        <v>-46734.15986099968</v>
      </c>
      <c r="D43" s="21">
        <f>-61074*1.2334818375475</f>
        <v>-75333.669746376021</v>
      </c>
      <c r="E43" s="21">
        <f>-78201*1.2334818375475</f>
        <v>-96459.513178052046</v>
      </c>
      <c r="F43" s="21">
        <f>-73653*1.2334818375475</f>
        <v>-90849.637780886027</v>
      </c>
      <c r="G43" s="21">
        <f>-48363*1.2334818375475</f>
        <v>-59654.882109309743</v>
      </c>
      <c r="H43" s="21">
        <f>-28979*1.2334818375475</f>
        <v>-35745.070170289007</v>
      </c>
      <c r="I43" s="21">
        <f>-12305*1.2334818375475</f>
        <v>-15177.994011021989</v>
      </c>
      <c r="J43" s="21">
        <f>-340464*1.2334818375475</f>
        <v>-419956.16033877205</v>
      </c>
      <c r="L43" s="26" t="s">
        <v>42</v>
      </c>
      <c r="M43" s="25">
        <v>-419956.16033877205</v>
      </c>
    </row>
    <row r="44" spans="2:13" ht="16.149999999999999" thickBot="1" x14ac:dyDescent="0.55000000000000004">
      <c r="B44" s="20" t="s">
        <v>43</v>
      </c>
      <c r="C44" s="21">
        <f>-32321*1.2334818375475</f>
        <v>-39867.366471372748</v>
      </c>
      <c r="D44" s="21">
        <f>-53675*1.2334818375475</f>
        <v>-66207.137630362064</v>
      </c>
      <c r="E44" s="21">
        <f>-67758*1.2334818375475</f>
        <v>-83578.262348543503</v>
      </c>
      <c r="F44" s="21">
        <f>-64123*1.2334818375475</f>
        <v>-79094.555869058342</v>
      </c>
      <c r="G44" s="21">
        <f>-40521*1.2334818375475</f>
        <v>-49981.917539262249</v>
      </c>
      <c r="H44" s="21">
        <f>-24358*1.2334818375475</f>
        <v>-30045.150598982007</v>
      </c>
      <c r="I44" s="21">
        <f>-9698*1.2334818375475</f>
        <v>-11962.306860535655</v>
      </c>
      <c r="J44" s="21">
        <f>-292454*1.2334818375475</f>
        <v>-360736.69731811661</v>
      </c>
      <c r="L44" s="26" t="s">
        <v>43</v>
      </c>
      <c r="M44" s="25">
        <v>-360736.69731811661</v>
      </c>
    </row>
    <row r="45" spans="2:13" ht="16.149999999999999" thickBot="1" x14ac:dyDescent="0.55000000000000004">
      <c r="B45" s="20" t="s">
        <v>46</v>
      </c>
      <c r="C45" s="22"/>
      <c r="D45" s="22"/>
      <c r="E45" s="22"/>
      <c r="F45" s="22"/>
      <c r="G45" s="22"/>
      <c r="H45" s="22"/>
      <c r="I45" s="22"/>
      <c r="J45" s="22"/>
      <c r="L45" s="26" t="s">
        <v>46</v>
      </c>
      <c r="M45" s="25"/>
    </row>
    <row r="46" spans="2:13" ht="16.149999999999999" thickBot="1" x14ac:dyDescent="0.55000000000000004">
      <c r="B46" s="20" t="s">
        <v>45</v>
      </c>
      <c r="C46" s="21">
        <f>-37153*1.2334818375475</f>
        <v>-45827.550710402269</v>
      </c>
      <c r="D46" s="21">
        <f>-60620*1.2334818375475</f>
        <v>-74773.66899212946</v>
      </c>
      <c r="E46" s="21">
        <f>-76969*1.2334818375475</f>
        <v>-94939.863554193536</v>
      </c>
      <c r="F46" s="21">
        <f>-72670*1.2334818375475</f>
        <v>-89637.125134576825</v>
      </c>
      <c r="G46" s="21">
        <f>-46940*1.2334818375475</f>
        <v>-57899.637454479656</v>
      </c>
      <c r="H46" s="21">
        <f>-28287*1.2334818375475</f>
        <v>-34891.500738706134</v>
      </c>
      <c r="I46" s="21">
        <f>-11685*1.2334818375475</f>
        <v>-14413.235271742538</v>
      </c>
      <c r="J46" s="21">
        <f>-334323*1.2334818375475</f>
        <v>-412381.34837439284</v>
      </c>
      <c r="L46" s="26" t="s">
        <v>45</v>
      </c>
      <c r="M46" s="25">
        <v>-412381.34837439284</v>
      </c>
    </row>
    <row r="47" spans="2:13" ht="16.149999999999999" thickBot="1" x14ac:dyDescent="0.55000000000000004">
      <c r="B47" s="20" t="s">
        <v>42</v>
      </c>
      <c r="C47" s="21">
        <f>-40100*1.2334818375475</f>
        <v>-49462.621685654754</v>
      </c>
      <c r="D47" s="21">
        <f>-64527*1.2334818375475</f>
        <v>-79592.882531427531</v>
      </c>
      <c r="E47" s="21">
        <f>-82475*1.2334818375475</f>
        <v>-101731.41455173006</v>
      </c>
      <c r="F47" s="21">
        <f>-77699*1.2334818375475</f>
        <v>-95840.305295603204</v>
      </c>
      <c r="G47" s="21">
        <f>-51089*1.2334818375475</f>
        <v>-63017.353598464229</v>
      </c>
      <c r="H47" s="21">
        <f>-30742*1.2334818375475</f>
        <v>-37919.698649885249</v>
      </c>
      <c r="I47" s="21">
        <f>-13071*1.2334818375475</f>
        <v>-16122.841098583374</v>
      </c>
      <c r="J47" s="21">
        <f>-359702*1.2334818375475</f>
        <v>-443685.88392951089</v>
      </c>
      <c r="L47" s="26" t="s">
        <v>42</v>
      </c>
      <c r="M47" s="25">
        <v>-443685.88392951089</v>
      </c>
    </row>
    <row r="48" spans="2:13" ht="16.149999999999999" thickBot="1" x14ac:dyDescent="0.55000000000000004">
      <c r="B48" s="20" t="s">
        <v>43</v>
      </c>
      <c r="C48" s="21">
        <f>-34205*1.2334818375475</f>
        <v>-42191.246253312238</v>
      </c>
      <c r="D48" s="21">
        <f>-56713*1.2334818375475</f>
        <v>-69954.455452831375</v>
      </c>
      <c r="E48" s="21">
        <f>-71463*1.2334818375475</f>
        <v>-88148.312556656994</v>
      </c>
      <c r="F48" s="21">
        <f>-67641*1.2334818375475</f>
        <v>-83433.944973550446</v>
      </c>
      <c r="G48" s="21">
        <f>-42791*1.2334818375475</f>
        <v>-52781.921310495076</v>
      </c>
      <c r="H48" s="21">
        <f>-25832*1.2334818375475</f>
        <v>-31863.302827527023</v>
      </c>
      <c r="I48" s="21">
        <f>-10300*1.2334818375475</f>
        <v>-12704.862926739252</v>
      </c>
      <c r="J48" s="21">
        <f>-308944*1.2334818375475</f>
        <v>-381076.81281927484</v>
      </c>
      <c r="L48" s="26" t="s">
        <v>43</v>
      </c>
      <c r="M48" s="25">
        <v>-381076.81281927484</v>
      </c>
    </row>
    <row r="49" spans="2:13" ht="16.149999999999999" thickBot="1" x14ac:dyDescent="0.55000000000000004">
      <c r="B49" s="20" t="s">
        <v>47</v>
      </c>
      <c r="C49" s="22"/>
      <c r="D49" s="22"/>
      <c r="E49" s="22"/>
      <c r="F49" s="22"/>
      <c r="G49" s="22"/>
      <c r="H49" s="22"/>
      <c r="I49" s="22"/>
      <c r="J49" s="22"/>
      <c r="L49" s="26" t="s">
        <v>47</v>
      </c>
      <c r="M49" s="25"/>
    </row>
    <row r="50" spans="2:13" ht="16.149999999999999" thickBot="1" x14ac:dyDescent="0.55000000000000004">
      <c r="B50" s="20" t="s">
        <v>45</v>
      </c>
      <c r="C50" s="21">
        <f>-64111*1.2334818375475</f>
        <v>-79079.754087007779</v>
      </c>
      <c r="D50" s="21">
        <f>-102972*1.2334818375475</f>
        <v>-127014.09177594118</v>
      </c>
      <c r="E50" s="21">
        <f>-128522*1.2334818375475</f>
        <v>-158529.55272527979</v>
      </c>
      <c r="F50" s="21">
        <f>-121601*1.2334818375475</f>
        <v>-149992.62492761356</v>
      </c>
      <c r="G50" s="21">
        <f>-79462*1.2334818375475</f>
        <v>-98014.933775199446</v>
      </c>
      <c r="H50" s="21">
        <f>-49836*1.2334818375475</f>
        <v>-61471.800856017217</v>
      </c>
      <c r="I50" s="21">
        <f>-20850*1.2334818375475</f>
        <v>-25718.096312865375</v>
      </c>
      <c r="J50" s="21">
        <f>-567353*1.2334818375475</f>
        <v>-699819.62097808684</v>
      </c>
      <c r="L50" s="26" t="s">
        <v>45</v>
      </c>
      <c r="M50" s="25">
        <v>-699819.62097808684</v>
      </c>
    </row>
    <row r="51" spans="2:13" ht="16.149999999999999" thickBot="1" x14ac:dyDescent="0.55000000000000004">
      <c r="B51" s="20" t="s">
        <v>42</v>
      </c>
      <c r="C51" s="21">
        <f>-69226*1.2334818375475</f>
        <v>-85389.013686063234</v>
      </c>
      <c r="D51" s="21">
        <f>-109582*1.2334818375475</f>
        <v>-135167.40672213017</v>
      </c>
      <c r="E51" s="21">
        <f>-137707*1.2334818375475</f>
        <v>-169859.08340315358</v>
      </c>
      <c r="F51" s="21">
        <f>-130058*1.2334818375475</f>
        <v>-160424.18082775277</v>
      </c>
      <c r="G51" s="21">
        <f>-86612*1.2334818375475</f>
        <v>-106834.32891366408</v>
      </c>
      <c r="H51" s="21">
        <f>-54227*1.2334818375475</f>
        <v>-66888.019604688292</v>
      </c>
      <c r="I51" s="21">
        <f>-23335*1.2334818375475</f>
        <v>-28783.298679170915</v>
      </c>
      <c r="J51" s="21">
        <f>-610748*1.2334818375475</f>
        <v>-753346.56531846058</v>
      </c>
      <c r="L51" s="26" t="s">
        <v>42</v>
      </c>
      <c r="M51" s="25">
        <v>-753346.56531846058</v>
      </c>
    </row>
    <row r="52" spans="2:13" ht="16.149999999999999" thickBot="1" x14ac:dyDescent="0.55000000000000004">
      <c r="B52" s="20" t="s">
        <v>43</v>
      </c>
      <c r="C52" s="21">
        <f>-58995*1.2334818375475</f>
        <v>-72769.261006114772</v>
      </c>
      <c r="D52" s="21">
        <f>-96362*1.2334818375475</f>
        <v>-118860.7768297522</v>
      </c>
      <c r="E52" s="21">
        <f>-119336*1.2334818375475</f>
        <v>-147198.78856556848</v>
      </c>
      <c r="F52" s="21">
        <f>-113143*1.2334818375475</f>
        <v>-139559.8355456368</v>
      </c>
      <c r="G52" s="21">
        <f>-72313*1.2334818375475</f>
        <v>-89196.772118572379</v>
      </c>
      <c r="H52" s="21">
        <f>-45445*1.2334818375475</f>
        <v>-56055.582107346141</v>
      </c>
      <c r="I52" s="21">
        <f>-18364*1.2334818375475</f>
        <v>-22651.660464722292</v>
      </c>
      <c r="J52" s="21">
        <f>-523959*1.2334818375475</f>
        <v>-646293.91011955054</v>
      </c>
      <c r="L52" s="26" t="s">
        <v>43</v>
      </c>
      <c r="M52" s="25">
        <v>-646293.91011955054</v>
      </c>
    </row>
    <row r="55" spans="2:13" ht="16.149999999999999" x14ac:dyDescent="0.5">
      <c r="E55" s="28" t="s">
        <v>50</v>
      </c>
    </row>
    <row r="56" spans="2:13" ht="18" x14ac:dyDescent="0.5">
      <c r="F56" s="31"/>
      <c r="G56" s="27" t="s">
        <v>52</v>
      </c>
      <c r="H56" s="27" t="s">
        <v>54</v>
      </c>
      <c r="I56" s="29"/>
      <c r="J56" s="30"/>
    </row>
    <row r="57" spans="2:13" x14ac:dyDescent="0.5">
      <c r="F57" s="31" t="s">
        <v>51</v>
      </c>
      <c r="G57" s="32">
        <v>870000</v>
      </c>
      <c r="H57" s="32">
        <f>G57*1.2334818375475</f>
        <v>1073129.1986663251</v>
      </c>
      <c r="I57" s="29"/>
      <c r="J57" s="30"/>
    </row>
    <row r="58" spans="2:13" ht="16.149999999999999" thickBot="1" x14ac:dyDescent="0.55000000000000004">
      <c r="G58" s="29"/>
      <c r="H58" s="29"/>
      <c r="I58" s="29"/>
      <c r="J58" s="30"/>
    </row>
    <row r="59" spans="2:13" x14ac:dyDescent="0.5">
      <c r="G59" s="33" t="s">
        <v>53</v>
      </c>
      <c r="H59" s="35" t="s">
        <v>39</v>
      </c>
      <c r="I59" s="46" t="s">
        <v>55</v>
      </c>
      <c r="J59" s="30"/>
    </row>
    <row r="60" spans="2:13" ht="16.149999999999999" thickBot="1" x14ac:dyDescent="0.55000000000000004">
      <c r="G60" s="34"/>
      <c r="H60" s="35"/>
      <c r="I60" s="46"/>
      <c r="J60" s="30"/>
    </row>
    <row r="61" spans="2:13" ht="19.149999999999999" thickBot="1" x14ac:dyDescent="0.55000000000000004">
      <c r="G61" s="26" t="s">
        <v>38</v>
      </c>
      <c r="H61" s="25">
        <v>388240.87533175101</v>
      </c>
      <c r="I61" s="25">
        <f>(H61/$H57)*100</f>
        <v>36.178390804597726</v>
      </c>
      <c r="J61" s="30"/>
    </row>
    <row r="62" spans="2:13" ht="16.149999999999999" thickBot="1" x14ac:dyDescent="0.55000000000000004">
      <c r="G62" s="26" t="s">
        <v>40</v>
      </c>
      <c r="H62" s="25"/>
      <c r="I62" s="25"/>
      <c r="J62" s="30"/>
    </row>
    <row r="63" spans="2:13" ht="16.149999999999999" thickBot="1" x14ac:dyDescent="0.55000000000000004">
      <c r="G63" s="26" t="s">
        <v>41</v>
      </c>
      <c r="H63" s="25">
        <v>388200.170431112</v>
      </c>
      <c r="I63" s="25">
        <f>(H63/$H57)*100</f>
        <v>36.174597701149452</v>
      </c>
      <c r="J63" s="30"/>
    </row>
    <row r="64" spans="2:13" ht="16.149999999999999" thickBot="1" x14ac:dyDescent="0.55000000000000004">
      <c r="G64" s="26" t="s">
        <v>42</v>
      </c>
      <c r="H64" s="25">
        <v>417644.61537520803</v>
      </c>
      <c r="I64" s="25">
        <f>(H64/$H57)*100</f>
        <v>38.918390804597699</v>
      </c>
      <c r="J64" s="30"/>
    </row>
    <row r="65" spans="7:10" ht="16.149999999999999" thickBot="1" x14ac:dyDescent="0.55000000000000004">
      <c r="G65" s="26" t="s">
        <v>43</v>
      </c>
      <c r="H65" s="25">
        <v>358755.72548701498</v>
      </c>
      <c r="I65" s="25">
        <f>(H65/$H57)*100</f>
        <v>33.430804597701119</v>
      </c>
      <c r="J65" s="30"/>
    </row>
    <row r="66" spans="7:10" ht="16.149999999999999" thickBot="1" x14ac:dyDescent="0.55000000000000004">
      <c r="G66" s="26" t="s">
        <v>44</v>
      </c>
      <c r="H66" s="25"/>
      <c r="I66" s="25"/>
      <c r="J66" s="30"/>
    </row>
    <row r="67" spans="7:10" ht="16.149999999999999" thickBot="1" x14ac:dyDescent="0.55000000000000004">
      <c r="G67" s="26" t="s">
        <v>45</v>
      </c>
      <c r="H67" s="25">
        <v>390346.42882844398</v>
      </c>
      <c r="I67" s="25">
        <f>(H67/$H57)*100</f>
        <v>36.374597701149391</v>
      </c>
    </row>
    <row r="68" spans="7:10" ht="16.149999999999999" thickBot="1" x14ac:dyDescent="0.55000000000000004">
      <c r="G68" s="26" t="s">
        <v>42</v>
      </c>
      <c r="H68" s="25">
        <v>419956.160338772</v>
      </c>
      <c r="I68" s="25">
        <f>(H68/$H57)*100</f>
        <v>39.133793103448269</v>
      </c>
    </row>
    <row r="69" spans="7:10" ht="16.149999999999999" thickBot="1" x14ac:dyDescent="0.55000000000000004">
      <c r="G69" s="26" t="s">
        <v>43</v>
      </c>
      <c r="H69" s="25">
        <v>360736.69731811702</v>
      </c>
      <c r="I69" s="25">
        <f>(H69/$H57)*100</f>
        <v>33.615402298850618</v>
      </c>
    </row>
    <row r="70" spans="7:10" ht="16.149999999999999" thickBot="1" x14ac:dyDescent="0.55000000000000004">
      <c r="G70" s="26" t="s">
        <v>46</v>
      </c>
      <c r="H70" s="25"/>
      <c r="I70" s="25"/>
    </row>
    <row r="71" spans="7:10" ht="16.149999999999999" thickBot="1" x14ac:dyDescent="0.55000000000000004">
      <c r="G71" s="26" t="s">
        <v>45</v>
      </c>
      <c r="H71" s="25">
        <v>412381.34837439301</v>
      </c>
      <c r="I71" s="25">
        <f>(H71/$H57)*100</f>
        <v>38.427931034482768</v>
      </c>
    </row>
    <row r="72" spans="7:10" ht="16.149999999999999" thickBot="1" x14ac:dyDescent="0.55000000000000004">
      <c r="G72" s="26" t="s">
        <v>42</v>
      </c>
      <c r="H72" s="25">
        <v>443685.88392951101</v>
      </c>
      <c r="I72" s="25">
        <f>(H72/$H57)*100</f>
        <v>41.345057471264383</v>
      </c>
    </row>
    <row r="73" spans="7:10" ht="16.149999999999999" thickBot="1" x14ac:dyDescent="0.55000000000000004">
      <c r="G73" s="26" t="s">
        <v>43</v>
      </c>
      <c r="H73" s="25">
        <v>381076.81281927502</v>
      </c>
      <c r="I73" s="25">
        <f>(H73/$H57)*100</f>
        <v>35.51080459770116</v>
      </c>
    </row>
    <row r="74" spans="7:10" ht="16.149999999999999" thickBot="1" x14ac:dyDescent="0.55000000000000004">
      <c r="G74" s="26" t="s">
        <v>47</v>
      </c>
      <c r="H74" s="25"/>
      <c r="I74" s="25"/>
    </row>
    <row r="75" spans="7:10" ht="16.149999999999999" thickBot="1" x14ac:dyDescent="0.55000000000000004">
      <c r="G75" s="26" t="s">
        <v>45</v>
      </c>
      <c r="H75" s="25">
        <v>699819.62097808695</v>
      </c>
      <c r="I75" s="25">
        <f>(H75/$H57)*100</f>
        <v>65.212988505747134</v>
      </c>
    </row>
    <row r="76" spans="7:10" ht="16.149999999999999" thickBot="1" x14ac:dyDescent="0.55000000000000004">
      <c r="G76" s="26" t="s">
        <v>42</v>
      </c>
      <c r="H76" s="25">
        <v>753346.56531846104</v>
      </c>
      <c r="I76" s="25">
        <f>(H76/$H57)*100</f>
        <v>70.200919540229933</v>
      </c>
    </row>
    <row r="77" spans="7:10" ht="16.149999999999999" thickBot="1" x14ac:dyDescent="0.55000000000000004">
      <c r="G77" s="26" t="s">
        <v>43</v>
      </c>
      <c r="H77" s="25">
        <v>646293.910119551</v>
      </c>
      <c r="I77" s="25">
        <f>(H77/$H57)*100</f>
        <v>60.225172413793139</v>
      </c>
    </row>
  </sheetData>
  <mergeCells count="30">
    <mergeCell ref="B34:B35"/>
    <mergeCell ref="D29:D30"/>
    <mergeCell ref="E29:E30"/>
    <mergeCell ref="F29:F30"/>
    <mergeCell ref="G29:G30"/>
    <mergeCell ref="C29:C30"/>
    <mergeCell ref="H29:H30"/>
    <mergeCell ref="J29:J30"/>
    <mergeCell ref="J31:J32"/>
    <mergeCell ref="C34:C35"/>
    <mergeCell ref="D34:D35"/>
    <mergeCell ref="E34:E35"/>
    <mergeCell ref="F34:F35"/>
    <mergeCell ref="G34:G35"/>
    <mergeCell ref="I29:I30"/>
    <mergeCell ref="C31:C32"/>
    <mergeCell ref="D31:D32"/>
    <mergeCell ref="E31:E32"/>
    <mergeCell ref="F31:F32"/>
    <mergeCell ref="G31:G32"/>
    <mergeCell ref="H31:H32"/>
    <mergeCell ref="I31:I32"/>
    <mergeCell ref="G59:G60"/>
    <mergeCell ref="H59:H60"/>
    <mergeCell ref="I59:I60"/>
    <mergeCell ref="M34:M35"/>
    <mergeCell ref="L34:L35"/>
    <mergeCell ref="H34:H35"/>
    <mergeCell ref="I34:I35"/>
    <mergeCell ref="J34:J35"/>
  </mergeCells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.75" x14ac:dyDescent="0.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Tabelle3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Bjoern Deling</dc:creator>
  <cp:lastModifiedBy>h sander</cp:lastModifiedBy>
  <dcterms:created xsi:type="dcterms:W3CDTF">2018-02-18T17:49:13Z</dcterms:created>
  <dcterms:modified xsi:type="dcterms:W3CDTF">2018-02-19T19:29:09Z</dcterms:modified>
</cp:coreProperties>
</file>