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john.g\Desktop\Investment Models\"/>
    </mc:Choice>
  </mc:AlternateContent>
  <xr:revisionPtr revIDLastSave="0" documentId="13_ncr:1_{1D11AC31-550A-4B56-AA03-C9CD6078CF9C}" xr6:coauthVersionLast="36" xr6:coauthVersionMax="47" xr10:uidLastSave="{00000000-0000-0000-0000-000000000000}"/>
  <bookViews>
    <workbookView xWindow="-120" yWindow="-120" windowWidth="20610" windowHeight="7545" activeTab="2" xr2:uid="{00000000-000D-0000-FFFF-FFFF00000000}"/>
  </bookViews>
  <sheets>
    <sheet name="Loan Calculator" sheetId="2" r:id="rId1"/>
    <sheet name="Loan Calculator and Amort " sheetId="3" r:id="rId2"/>
    <sheet name="Capacity " sheetId="1" r:id="rId3"/>
  </sheets>
  <definedNames>
    <definedName name="_xlnm.Print_Area" localSheetId="2">'Capacity '!$B$3:$I$23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E6" i="1" l="1"/>
  <c r="F6" i="1" s="1"/>
  <c r="G6" i="1" s="1"/>
  <c r="H6" i="1" s="1"/>
  <c r="I6" i="1" s="1"/>
  <c r="J6" i="1" s="1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L9" i="3" s="1"/>
  <c r="J18" i="1" s="1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L8" i="3" s="1"/>
  <c r="I18" i="1" s="1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C13" i="3"/>
  <c r="C8" i="3"/>
  <c r="C10" i="3" s="1"/>
  <c r="D13" i="3" s="1"/>
  <c r="L7" i="3" l="1"/>
  <c r="H18" i="1" s="1"/>
  <c r="L4" i="3"/>
  <c r="E18" i="1" s="1"/>
  <c r="L5" i="3"/>
  <c r="F18" i="1" s="1"/>
  <c r="L6" i="3"/>
  <c r="G18" i="1" s="1"/>
  <c r="G51" i="3"/>
  <c r="G55" i="3"/>
  <c r="G59" i="3"/>
  <c r="G67" i="3"/>
  <c r="G79" i="3"/>
  <c r="G83" i="3"/>
  <c r="G32" i="3"/>
  <c r="G48" i="3"/>
  <c r="G64" i="3"/>
  <c r="G73" i="3"/>
  <c r="G76" i="3"/>
  <c r="G30" i="3"/>
  <c r="G34" i="3"/>
  <c r="G38" i="3"/>
  <c r="G54" i="3"/>
  <c r="G58" i="3"/>
  <c r="G62" i="3"/>
  <c r="G66" i="3"/>
  <c r="G70" i="3"/>
  <c r="G78" i="3"/>
  <c r="G82" i="3"/>
  <c r="G75" i="3"/>
  <c r="G84" i="3"/>
  <c r="G53" i="3"/>
  <c r="G49" i="3"/>
  <c r="G50" i="3"/>
  <c r="H13" i="3"/>
  <c r="C14" i="3" s="1"/>
  <c r="H14" i="3" s="1"/>
  <c r="C15" i="3" s="1"/>
  <c r="H15" i="3" s="1"/>
  <c r="C16" i="3" s="1"/>
  <c r="H16" i="3" s="1"/>
  <c r="C17" i="3" s="1"/>
  <c r="H17" i="3" s="1"/>
  <c r="C18" i="3" s="1"/>
  <c r="H18" i="3" s="1"/>
  <c r="C19" i="3" s="1"/>
  <c r="H19" i="3" s="1"/>
  <c r="C20" i="3" s="1"/>
  <c r="H20" i="3" s="1"/>
  <c r="C21" i="3" s="1"/>
  <c r="H21" i="3" s="1"/>
  <c r="C22" i="3" s="1"/>
  <c r="H22" i="3" s="1"/>
  <c r="C23" i="3" s="1"/>
  <c r="H23" i="3" s="1"/>
  <c r="C24" i="3" s="1"/>
  <c r="H24" i="3" s="1"/>
  <c r="C25" i="3" s="1"/>
  <c r="H25" i="3" s="1"/>
  <c r="C26" i="3" s="1"/>
  <c r="H26" i="3" s="1"/>
  <c r="C27" i="3" s="1"/>
  <c r="H27" i="3" s="1"/>
  <c r="C28" i="3" s="1"/>
  <c r="H28" i="3" s="1"/>
  <c r="C29" i="3" s="1"/>
  <c r="H29" i="3" s="1"/>
  <c r="C30" i="3" s="1"/>
  <c r="H30" i="3" s="1"/>
  <c r="C31" i="3" s="1"/>
  <c r="H31" i="3" s="1"/>
  <c r="C32" i="3" s="1"/>
  <c r="H32" i="3" s="1"/>
  <c r="C33" i="3" s="1"/>
  <c r="H33" i="3" s="1"/>
  <c r="C34" i="3" s="1"/>
  <c r="H34" i="3" s="1"/>
  <c r="C35" i="3" s="1"/>
  <c r="H35" i="3" s="1"/>
  <c r="C36" i="3" s="1"/>
  <c r="H36" i="3" s="1"/>
  <c r="C37" i="3" s="1"/>
  <c r="H37" i="3" s="1"/>
  <c r="C38" i="3" s="1"/>
  <c r="H38" i="3" s="1"/>
  <c r="C39" i="3" s="1"/>
  <c r="H39" i="3" s="1"/>
  <c r="C40" i="3" s="1"/>
  <c r="H40" i="3" s="1"/>
  <c r="C41" i="3" s="1"/>
  <c r="H41" i="3" s="1"/>
  <c r="C42" i="3" s="1"/>
  <c r="H42" i="3" s="1"/>
  <c r="C43" i="3" s="1"/>
  <c r="H43" i="3" s="1"/>
  <c r="C44" i="3" s="1"/>
  <c r="H44" i="3" s="1"/>
  <c r="C45" i="3" s="1"/>
  <c r="H45" i="3" s="1"/>
  <c r="C46" i="3" s="1"/>
  <c r="H46" i="3" s="1"/>
  <c r="C47" i="3" s="1"/>
  <c r="H47" i="3" s="1"/>
  <c r="C48" i="3" s="1"/>
  <c r="H48" i="3" s="1"/>
  <c r="C49" i="3" s="1"/>
  <c r="H49" i="3" s="1"/>
  <c r="C50" i="3" s="1"/>
  <c r="H50" i="3" s="1"/>
  <c r="C51" i="3" s="1"/>
  <c r="H51" i="3" s="1"/>
  <c r="C52" i="3" s="1"/>
  <c r="H52" i="3" s="1"/>
  <c r="C53" i="3" s="1"/>
  <c r="H53" i="3" s="1"/>
  <c r="C54" i="3" s="1"/>
  <c r="H54" i="3" s="1"/>
  <c r="C55" i="3" s="1"/>
  <c r="H55" i="3" s="1"/>
  <c r="C56" i="3" s="1"/>
  <c r="H56" i="3" s="1"/>
  <c r="C57" i="3" s="1"/>
  <c r="H57" i="3" s="1"/>
  <c r="C58" i="3" s="1"/>
  <c r="H58" i="3" s="1"/>
  <c r="C59" i="3" s="1"/>
  <c r="H59" i="3" s="1"/>
  <c r="C60" i="3" s="1"/>
  <c r="H60" i="3" s="1"/>
  <c r="C61" i="3" s="1"/>
  <c r="H61" i="3" s="1"/>
  <c r="C62" i="3" s="1"/>
  <c r="H62" i="3" s="1"/>
  <c r="C63" i="3" s="1"/>
  <c r="H63" i="3" s="1"/>
  <c r="C64" i="3" s="1"/>
  <c r="H64" i="3" s="1"/>
  <c r="C65" i="3" s="1"/>
  <c r="H65" i="3" s="1"/>
  <c r="C66" i="3" s="1"/>
  <c r="H66" i="3" s="1"/>
  <c r="C67" i="3" s="1"/>
  <c r="H67" i="3" s="1"/>
  <c r="C68" i="3" s="1"/>
  <c r="H68" i="3" s="1"/>
  <c r="C69" i="3" s="1"/>
  <c r="H69" i="3" s="1"/>
  <c r="C70" i="3" s="1"/>
  <c r="H70" i="3" s="1"/>
  <c r="C71" i="3" s="1"/>
  <c r="H71" i="3" s="1"/>
  <c r="C72" i="3" s="1"/>
  <c r="H72" i="3" s="1"/>
  <c r="C73" i="3" s="1"/>
  <c r="H73" i="3" s="1"/>
  <c r="C74" i="3" s="1"/>
  <c r="H74" i="3" s="1"/>
  <c r="C75" i="3" s="1"/>
  <c r="H75" i="3" s="1"/>
  <c r="C76" i="3" s="1"/>
  <c r="H76" i="3" s="1"/>
  <c r="C77" i="3" s="1"/>
  <c r="H77" i="3" s="1"/>
  <c r="C78" i="3" s="1"/>
  <c r="H78" i="3" s="1"/>
  <c r="C79" i="3" s="1"/>
  <c r="H79" i="3" s="1"/>
  <c r="C80" i="3" s="1"/>
  <c r="H80" i="3" s="1"/>
  <c r="C81" i="3" s="1"/>
  <c r="H81" i="3" s="1"/>
  <c r="C82" i="3" s="1"/>
  <c r="H82" i="3" s="1"/>
  <c r="C83" i="3" s="1"/>
  <c r="H83" i="3" s="1"/>
  <c r="C84" i="3" s="1"/>
  <c r="H84" i="3" s="1"/>
  <c r="G28" i="3"/>
  <c r="G77" i="3"/>
  <c r="G74" i="3"/>
  <c r="G13" i="3"/>
  <c r="I13" i="3" s="1"/>
  <c r="D14" i="3" s="1"/>
  <c r="G29" i="3"/>
  <c r="G37" i="3"/>
  <c r="G41" i="3"/>
  <c r="G45" i="3"/>
  <c r="G69" i="3"/>
  <c r="G26" i="3"/>
  <c r="G18" i="3"/>
  <c r="G33" i="3"/>
  <c r="G68" i="3"/>
  <c r="G81" i="3"/>
  <c r="G21" i="3"/>
  <c r="G19" i="3"/>
  <c r="G23" i="3"/>
  <c r="G27" i="3"/>
  <c r="G42" i="3"/>
  <c r="G46" i="3"/>
  <c r="G61" i="3"/>
  <c r="G31" i="3"/>
  <c r="G39" i="3"/>
  <c r="G16" i="3"/>
  <c r="G24" i="3"/>
  <c r="G47" i="3"/>
  <c r="G44" i="3"/>
  <c r="G20" i="3"/>
  <c r="G65" i="3"/>
  <c r="G14" i="3"/>
  <c r="G17" i="3"/>
  <c r="G35" i="3"/>
  <c r="G52" i="3"/>
  <c r="G56" i="3"/>
  <c r="G63" i="3"/>
  <c r="G25" i="3"/>
  <c r="G60" i="3"/>
  <c r="G22" i="3"/>
  <c r="G36" i="3"/>
  <c r="G40" i="3"/>
  <c r="G43" i="3"/>
  <c r="G57" i="3"/>
  <c r="G71" i="3"/>
  <c r="C9" i="3"/>
  <c r="G15" i="3"/>
  <c r="G72" i="3"/>
  <c r="G80" i="3"/>
  <c r="I14" i="3" l="1"/>
  <c r="D15" i="3" s="1"/>
  <c r="I15" i="3" s="1"/>
  <c r="D16" i="3" s="1"/>
  <c r="I16" i="3" s="1"/>
  <c r="D17" i="3" s="1"/>
  <c r="I17" i="3" s="1"/>
  <c r="D18" i="3" s="1"/>
  <c r="I18" i="3" s="1"/>
  <c r="D19" i="3" s="1"/>
  <c r="I19" i="3" s="1"/>
  <c r="D20" i="3" s="1"/>
  <c r="I20" i="3" s="1"/>
  <c r="D21" i="3" s="1"/>
  <c r="I21" i="3" s="1"/>
  <c r="D22" i="3" s="1"/>
  <c r="I22" i="3" s="1"/>
  <c r="D23" i="3" s="1"/>
  <c r="I23" i="3" s="1"/>
  <c r="D24" i="3" s="1"/>
  <c r="I24" i="3" s="1"/>
  <c r="D25" i="3" s="1"/>
  <c r="I25" i="3" s="1"/>
  <c r="D26" i="3" s="1"/>
  <c r="I26" i="3" s="1"/>
  <c r="D27" i="3" s="1"/>
  <c r="I27" i="3" s="1"/>
  <c r="D28" i="3" s="1"/>
  <c r="I28" i="3" s="1"/>
  <c r="D29" i="3" s="1"/>
  <c r="I29" i="3" s="1"/>
  <c r="D30" i="3" s="1"/>
  <c r="I30" i="3" s="1"/>
  <c r="D31" i="3" s="1"/>
  <c r="I31" i="3" s="1"/>
  <c r="D32" i="3" s="1"/>
  <c r="I32" i="3" s="1"/>
  <c r="D33" i="3" s="1"/>
  <c r="I33" i="3" s="1"/>
  <c r="D34" i="3" s="1"/>
  <c r="I34" i="3" s="1"/>
  <c r="D35" i="3" s="1"/>
  <c r="I35" i="3" s="1"/>
  <c r="D36" i="3" s="1"/>
  <c r="I36" i="3" s="1"/>
  <c r="D37" i="3" s="1"/>
  <c r="I37" i="3" s="1"/>
  <c r="D38" i="3" s="1"/>
  <c r="I38" i="3" s="1"/>
  <c r="D39" i="3" s="1"/>
  <c r="I39" i="3" s="1"/>
  <c r="D40" i="3" s="1"/>
  <c r="I40" i="3" s="1"/>
  <c r="D41" i="3" s="1"/>
  <c r="I41" i="3" s="1"/>
  <c r="D42" i="3" s="1"/>
  <c r="I42" i="3" s="1"/>
  <c r="D43" i="3" s="1"/>
  <c r="I43" i="3" s="1"/>
  <c r="D44" i="3" s="1"/>
  <c r="I44" i="3" s="1"/>
  <c r="D45" i="3" s="1"/>
  <c r="I45" i="3" s="1"/>
  <c r="D46" i="3" s="1"/>
  <c r="I46" i="3" s="1"/>
  <c r="D47" i="3" s="1"/>
  <c r="I47" i="3" s="1"/>
  <c r="D48" i="3" s="1"/>
  <c r="I48" i="3" s="1"/>
  <c r="D49" i="3" s="1"/>
  <c r="I49" i="3" s="1"/>
  <c r="D50" i="3" s="1"/>
  <c r="I50" i="3" s="1"/>
  <c r="D51" i="3" s="1"/>
  <c r="I51" i="3" s="1"/>
  <c r="D52" i="3" s="1"/>
  <c r="I52" i="3" s="1"/>
  <c r="D53" i="3" s="1"/>
  <c r="I53" i="3" s="1"/>
  <c r="D54" i="3" s="1"/>
  <c r="I54" i="3" s="1"/>
  <c r="D55" i="3" s="1"/>
  <c r="I55" i="3" s="1"/>
  <c r="D56" i="3" s="1"/>
  <c r="I56" i="3" s="1"/>
  <c r="D57" i="3" s="1"/>
  <c r="I57" i="3" s="1"/>
  <c r="D58" i="3" s="1"/>
  <c r="I58" i="3" s="1"/>
  <c r="D59" i="3" s="1"/>
  <c r="I59" i="3" s="1"/>
  <c r="D60" i="3" s="1"/>
  <c r="I60" i="3" s="1"/>
  <c r="D61" i="3" s="1"/>
  <c r="I61" i="3" s="1"/>
  <c r="D62" i="3" s="1"/>
  <c r="I62" i="3" s="1"/>
  <c r="D63" i="3" s="1"/>
  <c r="I63" i="3" s="1"/>
  <c r="D64" i="3" s="1"/>
  <c r="I64" i="3" s="1"/>
  <c r="D65" i="3" s="1"/>
  <c r="I65" i="3" s="1"/>
  <c r="D66" i="3" s="1"/>
  <c r="I66" i="3" s="1"/>
  <c r="D67" i="3" s="1"/>
  <c r="I67" i="3" s="1"/>
  <c r="D68" i="3" s="1"/>
  <c r="I68" i="3" s="1"/>
  <c r="D69" i="3" s="1"/>
  <c r="I69" i="3" s="1"/>
  <c r="D70" i="3" s="1"/>
  <c r="I70" i="3" s="1"/>
  <c r="D71" i="3" s="1"/>
  <c r="I71" i="3" s="1"/>
  <c r="D72" i="3" s="1"/>
  <c r="I72" i="3" s="1"/>
  <c r="D73" i="3" s="1"/>
  <c r="I73" i="3" s="1"/>
  <c r="D74" i="3" s="1"/>
  <c r="I74" i="3" s="1"/>
  <c r="D75" i="3" s="1"/>
  <c r="I75" i="3" s="1"/>
  <c r="D76" i="3" s="1"/>
  <c r="I76" i="3" s="1"/>
  <c r="D77" i="3" s="1"/>
  <c r="I77" i="3" s="1"/>
  <c r="D78" i="3" s="1"/>
  <c r="I78" i="3" s="1"/>
  <c r="D79" i="3" s="1"/>
  <c r="I79" i="3" s="1"/>
  <c r="D80" i="3" s="1"/>
  <c r="I80" i="3" s="1"/>
  <c r="D81" i="3" s="1"/>
  <c r="I81" i="3" s="1"/>
  <c r="D82" i="3" s="1"/>
  <c r="I82" i="3" s="1"/>
  <c r="D83" i="3" s="1"/>
  <c r="I83" i="3" s="1"/>
  <c r="D84" i="3" s="1"/>
  <c r="I84" i="3" s="1"/>
  <c r="C7" i="2" l="1"/>
  <c r="E14" i="1" s="1"/>
  <c r="G14" i="1" l="1"/>
  <c r="D14" i="1"/>
  <c r="J14" i="1"/>
  <c r="I14" i="1"/>
  <c r="H14" i="1"/>
  <c r="F14" i="1"/>
  <c r="E15" i="1" l="1"/>
  <c r="F15" i="1"/>
  <c r="G15" i="1"/>
  <c r="H15" i="1"/>
  <c r="I15" i="1"/>
  <c r="J15" i="1"/>
  <c r="D15" i="1"/>
  <c r="D8" i="1" l="1"/>
  <c r="D10" i="1" s="1"/>
  <c r="D22" i="1" s="1"/>
  <c r="D11" i="1" l="1"/>
  <c r="D12" i="1" s="1"/>
  <c r="D19" i="1"/>
  <c r="E9" i="1"/>
  <c r="F9" i="1" s="1"/>
  <c r="G9" i="1" s="1"/>
  <c r="H9" i="1" s="1"/>
  <c r="I9" i="1" s="1"/>
  <c r="J9" i="1" s="1"/>
  <c r="E7" i="1"/>
  <c r="F7" i="1" s="1"/>
  <c r="G7" i="1" s="1"/>
  <c r="H7" i="1" s="1"/>
  <c r="I7" i="1" s="1"/>
  <c r="J7" i="1" s="1"/>
  <c r="E5" i="1"/>
  <c r="D23" i="1" l="1"/>
  <c r="D21" i="1"/>
  <c r="D20" i="1"/>
  <c r="E8" i="1"/>
  <c r="E10" i="1" s="1"/>
  <c r="D16" i="1"/>
  <c r="F5" i="1"/>
  <c r="G5" i="1" s="1"/>
  <c r="E19" i="1" l="1"/>
  <c r="E22" i="1"/>
  <c r="E11" i="1"/>
  <c r="E12" i="1" s="1"/>
  <c r="E20" i="1" s="1"/>
  <c r="F8" i="1"/>
  <c r="F10" i="1" s="1"/>
  <c r="F22" i="1" s="1"/>
  <c r="G8" i="1"/>
  <c r="G10" i="1" s="1"/>
  <c r="G22" i="1" s="1"/>
  <c r="H5" i="1"/>
  <c r="G11" i="1" l="1"/>
  <c r="G12" i="1" s="1"/>
  <c r="G19" i="1"/>
  <c r="F11" i="1"/>
  <c r="F12" i="1" s="1"/>
  <c r="F21" i="1" s="1"/>
  <c r="F19" i="1"/>
  <c r="E23" i="1"/>
  <c r="E16" i="1"/>
  <c r="I5" i="1"/>
  <c r="H8" i="1"/>
  <c r="H10" i="1" s="1"/>
  <c r="H22" i="1" s="1"/>
  <c r="E21" i="1"/>
  <c r="G20" i="1" l="1"/>
  <c r="G21" i="1"/>
  <c r="H11" i="1"/>
  <c r="H12" i="1" s="1"/>
  <c r="H20" i="1" s="1"/>
  <c r="H19" i="1"/>
  <c r="F20" i="1"/>
  <c r="F16" i="1"/>
  <c r="F23" i="1"/>
  <c r="I8" i="1"/>
  <c r="I10" i="1" s="1"/>
  <c r="I22" i="1" s="1"/>
  <c r="J5" i="1"/>
  <c r="J8" i="1" s="1"/>
  <c r="J10" i="1" s="1"/>
  <c r="J22" i="1" s="1"/>
  <c r="G23" i="1"/>
  <c r="G16" i="1"/>
  <c r="J11" i="1" l="1"/>
  <c r="J12" i="1" s="1"/>
  <c r="J20" i="1" s="1"/>
  <c r="J19" i="1"/>
  <c r="I11" i="1"/>
  <c r="I12" i="1" s="1"/>
  <c r="I19" i="1"/>
  <c r="H23" i="1"/>
  <c r="H16" i="1"/>
  <c r="H21" i="1"/>
  <c r="J23" i="1" l="1"/>
  <c r="J16" i="1"/>
  <c r="J21" i="1"/>
  <c r="I23" i="1"/>
  <c r="I20" i="1"/>
  <c r="I21" i="1"/>
  <c r="I16" i="1"/>
</calcChain>
</file>

<file path=xl/sharedStrings.xml><?xml version="1.0" encoding="utf-8"?>
<sst xmlns="http://schemas.openxmlformats.org/spreadsheetml/2006/main" count="71" uniqueCount="64">
  <si>
    <t>Parameter</t>
  </si>
  <si>
    <t>Year 0</t>
  </si>
  <si>
    <t>Year 1</t>
  </si>
  <si>
    <t>Year 2</t>
  </si>
  <si>
    <t>Year 3</t>
  </si>
  <si>
    <t>Year 4</t>
  </si>
  <si>
    <t>Year 5</t>
  </si>
  <si>
    <t>Annual School fee per student</t>
  </si>
  <si>
    <t>Student count</t>
  </si>
  <si>
    <t>Gross Income</t>
  </si>
  <si>
    <t xml:space="preserve">Net Income </t>
  </si>
  <si>
    <t>Projected Growth p.a</t>
  </si>
  <si>
    <t xml:space="preserve">Net Cash Flows before Debt Service </t>
  </si>
  <si>
    <t xml:space="preserve">Total Loan Repayments </t>
  </si>
  <si>
    <t xml:space="preserve">Collection Efficiency </t>
  </si>
  <si>
    <t xml:space="preserve">EMI % on Net Cashflows </t>
  </si>
  <si>
    <t xml:space="preserve">Net Cash Flow/ Gross Income </t>
  </si>
  <si>
    <t xml:space="preserve">Name of the School </t>
  </si>
  <si>
    <t xml:space="preserve">Tax Provision </t>
  </si>
  <si>
    <t xml:space="preserve">School Expenses </t>
  </si>
  <si>
    <t>Net Cashflow after Debt Service</t>
  </si>
  <si>
    <t>Year 6</t>
  </si>
  <si>
    <t>Debt Service Coverage Ratio</t>
  </si>
  <si>
    <t>Capacity Base Case</t>
  </si>
  <si>
    <t>Amount</t>
  </si>
  <si>
    <t>Duration</t>
  </si>
  <si>
    <t>Month(s)</t>
  </si>
  <si>
    <t>Interest</t>
  </si>
  <si>
    <t>Installment</t>
  </si>
  <si>
    <t>KES</t>
  </si>
  <si>
    <t>LOAN CALCULATOR</t>
  </si>
  <si>
    <t>Reducing Balance</t>
  </si>
  <si>
    <t>EPAL LOAN CALCULATOR</t>
  </si>
  <si>
    <t>AMOUNT IN "KES"</t>
  </si>
  <si>
    <t>Loan Amount (pv)</t>
  </si>
  <si>
    <t>Interest Rate (rate)</t>
  </si>
  <si>
    <t>Number of EMIs (nper)</t>
  </si>
  <si>
    <t>Total Interest</t>
  </si>
  <si>
    <t>Total Amount Payable</t>
  </si>
  <si>
    <t>Month</t>
  </si>
  <si>
    <t>Starting Loan Amount</t>
  </si>
  <si>
    <t>Starting Payable Amount</t>
  </si>
  <si>
    <t>Payment on Principal</t>
  </si>
  <si>
    <t>Payment on Interest</t>
  </si>
  <si>
    <t>Total Payment (EMI)</t>
  </si>
  <si>
    <t>Ending Loan Amount</t>
  </si>
  <si>
    <t>Ending Payable Amount</t>
  </si>
  <si>
    <t>Monthly Installment</t>
  </si>
  <si>
    <t>Total interest per year</t>
  </si>
  <si>
    <t>Year</t>
  </si>
  <si>
    <t>Interest Coverage Ratio</t>
  </si>
  <si>
    <t>Annual Interest EPAL Loan</t>
  </si>
  <si>
    <t>Annual Interest Non-EPAL Loan</t>
  </si>
  <si>
    <t>Opitimal Parameters</t>
  </si>
  <si>
    <t>Gross Income Margins</t>
  </si>
  <si>
    <t>The higher the margins the better the school is in converting revenue to profits</t>
  </si>
  <si>
    <t>Success of the school is the ability to maintain the margins over time</t>
  </si>
  <si>
    <t>Remarks</t>
  </si>
  <si>
    <t>Above 1 is recommended</t>
  </si>
  <si>
    <t>Less than 60 % is recommended</t>
  </si>
  <si>
    <t>Above  2 is recommended. Means the school's Net cash flows is 2 times the debt service</t>
  </si>
  <si>
    <t>XYZ International School Molo</t>
  </si>
  <si>
    <t>Annual Loan Repayment-Non ORG</t>
  </si>
  <si>
    <t>Annual Loan Repayment -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</si>
</sst>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* #,##0_-;\-* #,##0_-;_-* &quot;-&quot;??_-;_-@_-"/>
  </numFmts>
  <fonts count="14" x14ac:knownFonts="1">
    <font>
      <sz val="11"/>
      <name val="Calibri"/>
    </font>
    <font>
      <b/>
      <sz val="20"/>
      <color rgb="FF000000"/>
      <name val="Century Gothic"/>
    </font>
    <font>
      <sz val="20"/>
      <color rgb="FF000000"/>
      <name val="Century Gothic"/>
    </font>
    <font>
      <sz val="11"/>
      <color rgb="FF000000"/>
      <name val="Calibri"/>
    </font>
    <font>
      <b/>
      <sz val="20"/>
      <color rgb="FF000000"/>
      <name val="Century Gothic"/>
      <family val="2"/>
    </font>
    <font>
      <sz val="20"/>
      <color rgb="FF000000"/>
      <name val="Century Gothic"/>
      <family val="2"/>
    </font>
    <font>
      <sz val="11"/>
      <name val="Calibri"/>
    </font>
    <font>
      <b/>
      <sz val="11"/>
      <name val="Century Gothic"/>
      <family val="2"/>
    </font>
    <font>
      <sz val="11"/>
      <name val="Century Gothic"/>
      <family val="2"/>
    </font>
    <font>
      <b/>
      <sz val="20"/>
      <name val="Century Gothic"/>
      <family val="2"/>
    </font>
    <font>
      <sz val="20"/>
      <name val="Century Gothic"/>
      <family val="2"/>
    </font>
    <font>
      <sz val="11"/>
      <color rgb="FF000000"/>
      <name val="Century Gothic"/>
      <family val="2"/>
    </font>
    <font>
      <b/>
      <i/>
      <sz val="20"/>
      <color rgb="FF000000"/>
      <name val="Century Gothic"/>
      <family val="2"/>
    </font>
    <font>
      <i/>
      <sz val="20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>
      <alignment vertical="top"/>
      <protection locked="0"/>
    </xf>
    <xf numFmtId="43" fontId="6" fillId="0" borderId="0" applyFont="0" applyFill="0" applyBorder="0" applyAlignment="0" applyProtection="0"/>
  </cellStyleXfs>
  <cellXfs count="105">
    <xf numFmtId="0" fontId="0" fillId="0" borderId="0" xfId="0">
      <alignment vertical="center"/>
    </xf>
    <xf numFmtId="0" fontId="2" fillId="0" borderId="0" xfId="0" applyFont="1" applyAlignment="1"/>
    <xf numFmtId="0" fontId="2" fillId="3" borderId="0" xfId="0" applyFont="1" applyFill="1" applyAlignment="1"/>
    <xf numFmtId="0" fontId="5" fillId="3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7" fillId="0" borderId="9" xfId="0" applyFont="1" applyBorder="1">
      <alignment vertical="center"/>
    </xf>
    <xf numFmtId="43" fontId="8" fillId="0" borderId="0" xfId="2" applyFont="1" applyBorder="1" applyAlignment="1">
      <alignment vertical="center"/>
    </xf>
    <xf numFmtId="164" fontId="2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9" fontId="2" fillId="0" borderId="0" xfId="1" applyFont="1" applyFill="1" applyBorder="1" applyAlignment="1" applyProtection="1"/>
    <xf numFmtId="164" fontId="1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9" fontId="2" fillId="0" borderId="0" xfId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/>
    <xf numFmtId="9" fontId="2" fillId="0" borderId="10" xfId="1" applyFont="1" applyFill="1" applyBorder="1" applyAlignment="1" applyProtection="1"/>
    <xf numFmtId="164" fontId="2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2" fillId="0" borderId="0" xfId="0" applyFont="1" applyBorder="1" applyAlignment="1"/>
    <xf numFmtId="164" fontId="1" fillId="0" borderId="20" xfId="0" applyNumberFormat="1" applyFont="1" applyFill="1" applyBorder="1" applyAlignment="1"/>
    <xf numFmtId="164" fontId="1" fillId="0" borderId="21" xfId="0" applyNumberFormat="1" applyFont="1" applyFill="1" applyBorder="1" applyAlignment="1"/>
    <xf numFmtId="164" fontId="1" fillId="0" borderId="14" xfId="0" applyNumberFormat="1" applyFont="1" applyFill="1" applyBorder="1" applyAlignment="1"/>
    <xf numFmtId="164" fontId="1" fillId="0" borderId="15" xfId="0" applyNumberFormat="1" applyFont="1" applyFill="1" applyBorder="1" applyAlignment="1"/>
    <xf numFmtId="0" fontId="9" fillId="0" borderId="9" xfId="0" applyFont="1" applyBorder="1">
      <alignment vertical="center"/>
    </xf>
    <xf numFmtId="43" fontId="10" fillId="0" borderId="0" xfId="2" applyFont="1" applyBorder="1" applyAlignment="1">
      <alignment vertical="center"/>
    </xf>
    <xf numFmtId="0" fontId="10" fillId="0" borderId="10" xfId="0" applyFont="1" applyBorder="1">
      <alignment vertical="center"/>
    </xf>
    <xf numFmtId="0" fontId="10" fillId="0" borderId="0" xfId="0" applyFont="1" applyBorder="1">
      <alignment vertical="center"/>
    </xf>
    <xf numFmtId="9" fontId="10" fillId="0" borderId="0" xfId="0" applyNumberFormat="1" applyFont="1" applyBorder="1">
      <alignment vertical="center"/>
    </xf>
    <xf numFmtId="0" fontId="9" fillId="0" borderId="17" xfId="0" applyFont="1" applyBorder="1">
      <alignment vertical="center"/>
    </xf>
    <xf numFmtId="43" fontId="9" fillId="0" borderId="18" xfId="2" applyFont="1" applyBorder="1" applyAlignment="1">
      <alignment horizontal="center"/>
    </xf>
    <xf numFmtId="43" fontId="10" fillId="0" borderId="19" xfId="2" applyFont="1" applyBorder="1" applyAlignment="1">
      <alignment horizontal="center" vertical="center"/>
    </xf>
    <xf numFmtId="43" fontId="0" fillId="0" borderId="0" xfId="0" applyNumberFormat="1">
      <alignment vertical="center"/>
    </xf>
    <xf numFmtId="0" fontId="8" fillId="0" borderId="9" xfId="0" applyFont="1" applyBorder="1">
      <alignment vertical="center"/>
    </xf>
    <xf numFmtId="43" fontId="8" fillId="0" borderId="10" xfId="2" applyFont="1" applyBorder="1" applyAlignment="1">
      <alignment vertical="center"/>
    </xf>
    <xf numFmtId="0" fontId="8" fillId="0" borderId="11" xfId="0" applyFont="1" applyBorder="1">
      <alignment vertical="center"/>
    </xf>
    <xf numFmtId="43" fontId="8" fillId="0" borderId="12" xfId="2" applyFont="1" applyBorder="1" applyAlignment="1">
      <alignment vertical="center"/>
    </xf>
    <xf numFmtId="43" fontId="8" fillId="0" borderId="13" xfId="2" applyFont="1" applyBorder="1" applyAlignment="1">
      <alignment vertical="center"/>
    </xf>
    <xf numFmtId="0" fontId="7" fillId="0" borderId="0" xfId="0" applyFont="1" applyBorder="1">
      <alignment vertical="center"/>
    </xf>
    <xf numFmtId="0" fontId="7" fillId="0" borderId="10" xfId="0" applyFont="1" applyBorder="1">
      <alignment vertical="center"/>
    </xf>
    <xf numFmtId="167" fontId="8" fillId="0" borderId="9" xfId="2" applyNumberFormat="1" applyFont="1" applyBorder="1" applyAlignment="1">
      <alignment vertical="center"/>
    </xf>
    <xf numFmtId="167" fontId="8" fillId="0" borderId="11" xfId="2" applyNumberFormat="1" applyFont="1" applyBorder="1" applyAlignment="1">
      <alignment vertical="center"/>
    </xf>
    <xf numFmtId="0" fontId="5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9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1" fillId="0" borderId="14" xfId="0" applyFont="1" applyFill="1" applyBorder="1" applyAlignment="1"/>
    <xf numFmtId="0" fontId="1" fillId="0" borderId="20" xfId="0" applyFont="1" applyFill="1" applyBorder="1" applyAlignment="1"/>
    <xf numFmtId="0" fontId="12" fillId="0" borderId="0" xfId="0" applyFont="1" applyFill="1" applyBorder="1" applyAlignment="1"/>
    <xf numFmtId="164" fontId="12" fillId="0" borderId="0" xfId="0" applyNumberFormat="1" applyFont="1" applyFill="1" applyBorder="1" applyAlignment="1"/>
    <xf numFmtId="0" fontId="1" fillId="0" borderId="10" xfId="0" applyFont="1" applyFill="1" applyBorder="1" applyAlignment="1"/>
    <xf numFmtId="164" fontId="12" fillId="0" borderId="10" xfId="0" applyNumberFormat="1" applyFont="1" applyFill="1" applyBorder="1" applyAlignment="1"/>
    <xf numFmtId="0" fontId="12" fillId="0" borderId="12" xfId="0" applyFont="1" applyFill="1" applyBorder="1" applyAlignment="1"/>
    <xf numFmtId="0" fontId="1" fillId="0" borderId="22" xfId="0" applyFont="1" applyFill="1" applyBorder="1" applyAlignment="1"/>
    <xf numFmtId="0" fontId="5" fillId="0" borderId="23" xfId="0" applyFont="1" applyFill="1" applyBorder="1" applyAlignment="1"/>
    <xf numFmtId="0" fontId="12" fillId="0" borderId="23" xfId="0" applyFont="1" applyFill="1" applyBorder="1" applyAlignment="1"/>
    <xf numFmtId="0" fontId="12" fillId="0" borderId="24" xfId="0" applyFont="1" applyFill="1" applyBorder="1" applyAlignment="1"/>
    <xf numFmtId="0" fontId="4" fillId="2" borderId="25" xfId="0" applyFont="1" applyFill="1" applyBorder="1" applyAlignment="1"/>
    <xf numFmtId="0" fontId="4" fillId="0" borderId="23" xfId="0" applyFont="1" applyFill="1" applyBorder="1" applyAlignment="1"/>
    <xf numFmtId="0" fontId="2" fillId="0" borderId="7" xfId="0" applyFont="1" applyBorder="1" applyAlignment="1"/>
    <xf numFmtId="164" fontId="2" fillId="0" borderId="7" xfId="0" applyNumberFormat="1" applyFont="1" applyBorder="1" applyAlignment="1"/>
    <xf numFmtId="0" fontId="2" fillId="0" borderId="8" xfId="0" applyFont="1" applyBorder="1" applyAlignment="1"/>
    <xf numFmtId="0" fontId="2" fillId="3" borderId="0" xfId="0" applyFont="1" applyFill="1" applyBorder="1" applyAlignment="1"/>
    <xf numFmtId="0" fontId="5" fillId="3" borderId="0" xfId="0" applyFont="1" applyFill="1" applyBorder="1" applyAlignment="1"/>
    <xf numFmtId="0" fontId="4" fillId="0" borderId="6" xfId="0" applyFont="1" applyBorder="1" applyAlignment="1"/>
    <xf numFmtId="0" fontId="5" fillId="0" borderId="8" xfId="0" applyFont="1" applyBorder="1" applyAlignment="1"/>
    <xf numFmtId="0" fontId="13" fillId="0" borderId="9" xfId="0" applyFont="1" applyFill="1" applyBorder="1" applyAlignment="1"/>
    <xf numFmtId="0" fontId="13" fillId="0" borderId="9" xfId="0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/>
    <xf numFmtId="164" fontId="12" fillId="0" borderId="0" xfId="0" applyNumberFormat="1" applyFont="1" applyFill="1" applyBorder="1" applyAlignment="1">
      <alignment horizontal="right"/>
    </xf>
    <xf numFmtId="164" fontId="12" fillId="0" borderId="10" xfId="0" applyNumberFormat="1" applyFont="1" applyFill="1" applyBorder="1" applyAlignment="1">
      <alignment horizontal="right"/>
    </xf>
    <xf numFmtId="9" fontId="12" fillId="0" borderId="0" xfId="1" applyFont="1" applyFill="1" applyBorder="1" applyAlignment="1" applyProtection="1">
      <alignment horizontal="right"/>
    </xf>
    <xf numFmtId="9" fontId="12" fillId="0" borderId="10" xfId="1" applyFont="1" applyFill="1" applyBorder="1" applyAlignment="1" applyProtection="1">
      <alignment horizontal="right"/>
    </xf>
    <xf numFmtId="9" fontId="12" fillId="0" borderId="12" xfId="1" applyFont="1" applyFill="1" applyBorder="1" applyAlignment="1" applyProtection="1">
      <alignment horizontal="right"/>
    </xf>
    <xf numFmtId="9" fontId="12" fillId="0" borderId="13" xfId="1" applyFont="1" applyFill="1" applyBorder="1" applyAlignment="1" applyProtection="1">
      <alignment horizontal="right"/>
    </xf>
    <xf numFmtId="0" fontId="4" fillId="0" borderId="10" xfId="0" applyFont="1" applyBorder="1" applyAlignment="1"/>
    <xf numFmtId="0" fontId="4" fillId="0" borderId="10" xfId="0" applyFont="1" applyBorder="1" applyAlignment="1">
      <alignment wrapText="1"/>
    </xf>
    <xf numFmtId="0" fontId="4" fillId="2" borderId="1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11" fillId="0" borderId="0" xfId="1" applyNumberFormat="1" applyFont="1" applyBorder="1" applyAlignment="1">
      <alignment horizontal="center" vertical="top"/>
      <protection locked="0"/>
    </xf>
    <xf numFmtId="4" fontId="11" fillId="0" borderId="10" xfId="1" applyNumberFormat="1" applyFont="1" applyBorder="1" applyAlignment="1">
      <alignment horizontal="center" vertical="top"/>
      <protection locked="0"/>
    </xf>
    <xf numFmtId="0" fontId="8" fillId="5" borderId="9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9" fontId="11" fillId="0" borderId="0" xfId="1" applyFont="1" applyBorder="1" applyAlignment="1">
      <alignment horizontal="center" vertical="top"/>
      <protection locked="0"/>
    </xf>
    <xf numFmtId="9" fontId="11" fillId="0" borderId="10" xfId="1" applyFont="1" applyBorder="1" applyAlignment="1">
      <alignment horizontal="center" vertical="top"/>
      <protection locked="0"/>
    </xf>
    <xf numFmtId="1" fontId="11" fillId="0" borderId="0" xfId="1" applyNumberFormat="1" applyFont="1" applyBorder="1" applyAlignment="1">
      <alignment horizontal="center" vertical="top"/>
      <protection locked="0"/>
    </xf>
    <xf numFmtId="1" fontId="11" fillId="0" borderId="10" xfId="1" applyNumberFormat="1" applyFont="1" applyBorder="1" applyAlignment="1">
      <alignment horizontal="center" vertical="top"/>
      <protection locked="0"/>
    </xf>
    <xf numFmtId="0" fontId="7" fillId="5" borderId="7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D029-C143-4794-9205-2A0A1D158C87}">
  <dimension ref="B1:G11"/>
  <sheetViews>
    <sheetView workbookViewId="0">
      <selection activeCell="C10" sqref="C10"/>
    </sheetView>
  </sheetViews>
  <sheetFormatPr defaultRowHeight="15" x14ac:dyDescent="0.25"/>
  <cols>
    <col min="1" max="1" width="7.140625" customWidth="1"/>
    <col min="2" max="2" width="22" bestFit="1" customWidth="1"/>
    <col min="3" max="3" width="31.42578125" bestFit="1" customWidth="1"/>
    <col min="4" max="4" width="37" bestFit="1" customWidth="1"/>
    <col min="7" max="7" width="13.28515625" bestFit="1" customWidth="1"/>
  </cols>
  <sheetData>
    <row r="1" spans="2:7" ht="15.75" thickBot="1" x14ac:dyDescent="0.3"/>
    <row r="2" spans="2:7" ht="25.5" x14ac:dyDescent="0.35">
      <c r="B2" s="82" t="s">
        <v>32</v>
      </c>
      <c r="C2" s="83"/>
      <c r="D2" s="84"/>
    </row>
    <row r="3" spans="2:7" ht="25.5" x14ac:dyDescent="0.35">
      <c r="B3" s="79" t="s">
        <v>33</v>
      </c>
      <c r="C3" s="80"/>
      <c r="D3" s="81"/>
      <c r="G3" s="31"/>
    </row>
    <row r="4" spans="2:7" ht="26.25" x14ac:dyDescent="0.25">
      <c r="B4" s="23" t="s">
        <v>24</v>
      </c>
      <c r="C4" s="24">
        <v>100000000</v>
      </c>
      <c r="D4" s="25" t="s">
        <v>29</v>
      </c>
      <c r="G4" s="31"/>
    </row>
    <row r="5" spans="2:7" ht="26.25" x14ac:dyDescent="0.25">
      <c r="B5" s="23" t="s">
        <v>25</v>
      </c>
      <c r="C5" s="26">
        <v>48</v>
      </c>
      <c r="D5" s="25" t="s">
        <v>26</v>
      </c>
    </row>
    <row r="6" spans="2:7" ht="26.25" x14ac:dyDescent="0.25">
      <c r="B6" s="23" t="s">
        <v>27</v>
      </c>
      <c r="C6" s="27">
        <v>7.0000000000000007E-2</v>
      </c>
      <c r="D6" s="25" t="s">
        <v>31</v>
      </c>
    </row>
    <row r="7" spans="2:7" ht="27" thickBot="1" x14ac:dyDescent="0.4">
      <c r="B7" s="28" t="s">
        <v>28</v>
      </c>
      <c r="C7" s="29">
        <f>ROUNDUP(IF(C4="","Amount/Duration??",-1*(PMT((C6/12),C5,C4))),0)</f>
        <v>2394625</v>
      </c>
      <c r="D7" s="30"/>
    </row>
    <row r="11" spans="2:7" x14ac:dyDescent="0.25">
      <c r="D11" s="31"/>
    </row>
  </sheetData>
  <mergeCells count="2">
    <mergeCell ref="B3:D3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686E-AC02-4A44-83EC-B661D7E99A08}">
  <dimension ref="B1:L84"/>
  <sheetViews>
    <sheetView topLeftCell="B1" zoomScale="89" zoomScaleNormal="89" workbookViewId="0">
      <selection activeCell="C6" sqref="C6:I6"/>
    </sheetView>
  </sheetViews>
  <sheetFormatPr defaultRowHeight="15" x14ac:dyDescent="0.25"/>
  <cols>
    <col min="1" max="1" width="6.5703125" customWidth="1"/>
    <col min="2" max="2" width="24.7109375" bestFit="1" customWidth="1"/>
    <col min="3" max="3" width="23.5703125" bestFit="1" customWidth="1"/>
    <col min="4" max="4" width="27.140625" bestFit="1" customWidth="1"/>
    <col min="5" max="5" width="23.5703125" bestFit="1" customWidth="1"/>
    <col min="6" max="6" width="21.85546875" bestFit="1" customWidth="1"/>
    <col min="7" max="7" width="22" bestFit="1" customWidth="1"/>
    <col min="8" max="8" width="23" bestFit="1" customWidth="1"/>
    <col min="9" max="9" width="26.42578125" bestFit="1" customWidth="1"/>
    <col min="11" max="11" width="24.42578125" bestFit="1" customWidth="1"/>
    <col min="12" max="12" width="14.28515625" bestFit="1" customWidth="1"/>
    <col min="14" max="14" width="9.140625" customWidth="1"/>
  </cols>
  <sheetData>
    <row r="1" spans="2:12" ht="15.75" thickBot="1" x14ac:dyDescent="0.3"/>
    <row r="2" spans="2:12" x14ac:dyDescent="0.25">
      <c r="B2" s="90" t="s">
        <v>30</v>
      </c>
      <c r="C2" s="99"/>
      <c r="D2" s="99"/>
      <c r="E2" s="99"/>
      <c r="F2" s="99"/>
      <c r="G2" s="99"/>
      <c r="H2" s="99"/>
      <c r="I2" s="91"/>
      <c r="K2" s="90" t="s">
        <v>48</v>
      </c>
      <c r="L2" s="91"/>
    </row>
    <row r="3" spans="2:12" ht="15.75" thickBot="1" x14ac:dyDescent="0.3">
      <c r="B3" s="92" t="s">
        <v>33</v>
      </c>
      <c r="C3" s="93"/>
      <c r="D3" s="93"/>
      <c r="E3" s="93"/>
      <c r="F3" s="93"/>
      <c r="G3" s="93"/>
      <c r="H3" s="93"/>
      <c r="I3" s="94"/>
      <c r="K3" s="6" t="s">
        <v>49</v>
      </c>
      <c r="L3" s="38" t="s">
        <v>37</v>
      </c>
    </row>
    <row r="4" spans="2:12" ht="16.5" x14ac:dyDescent="0.25">
      <c r="B4" s="6" t="s">
        <v>34</v>
      </c>
      <c r="C4" s="85">
        <f>'Loan Calculator'!C4</f>
        <v>100000000</v>
      </c>
      <c r="D4" s="85"/>
      <c r="E4" s="85"/>
      <c r="F4" s="85"/>
      <c r="G4" s="85"/>
      <c r="H4" s="85"/>
      <c r="I4" s="86"/>
      <c r="K4" s="39">
        <v>1</v>
      </c>
      <c r="L4" s="33">
        <f>SUM(F13:F24)</f>
        <v>6288913.745963064</v>
      </c>
    </row>
    <row r="5" spans="2:12" ht="16.5" x14ac:dyDescent="0.25">
      <c r="B5" s="6" t="s">
        <v>35</v>
      </c>
      <c r="C5" s="95">
        <f>'Loan Calculator'!C6</f>
        <v>7.0000000000000007E-2</v>
      </c>
      <c r="D5" s="95"/>
      <c r="E5" s="95"/>
      <c r="F5" s="95"/>
      <c r="G5" s="95"/>
      <c r="H5" s="95"/>
      <c r="I5" s="96"/>
      <c r="K5" s="39">
        <v>2</v>
      </c>
      <c r="L5" s="33">
        <f>SUM(F25:F36)</f>
        <v>4666248.6737351855</v>
      </c>
    </row>
    <row r="6" spans="2:12" ht="16.5" x14ac:dyDescent="0.25">
      <c r="B6" s="6" t="s">
        <v>36</v>
      </c>
      <c r="C6" s="97">
        <f>'Loan Calculator'!C5</f>
        <v>48</v>
      </c>
      <c r="D6" s="97"/>
      <c r="E6" s="97"/>
      <c r="F6" s="97"/>
      <c r="G6" s="97"/>
      <c r="H6" s="97"/>
      <c r="I6" s="98"/>
      <c r="K6" s="39">
        <v>3</v>
      </c>
      <c r="L6" s="33">
        <f>SUM(F37:F48)</f>
        <v>2926281.0122333653</v>
      </c>
    </row>
    <row r="7" spans="2:12" ht="16.5" x14ac:dyDescent="0.25">
      <c r="B7" s="87"/>
      <c r="C7" s="88"/>
      <c r="D7" s="88"/>
      <c r="E7" s="88"/>
      <c r="F7" s="88"/>
      <c r="G7" s="88"/>
      <c r="H7" s="88"/>
      <c r="I7" s="89"/>
      <c r="K7" s="39">
        <v>4</v>
      </c>
      <c r="L7" s="33">
        <f>SUM(F49:F60)</f>
        <v>1060530.9477943429</v>
      </c>
    </row>
    <row r="8" spans="2:12" ht="16.5" x14ac:dyDescent="0.25">
      <c r="B8" s="6" t="s">
        <v>47</v>
      </c>
      <c r="C8" s="85">
        <f>-PMT(C5/12,C6,C4,0,0)</f>
        <v>2394624.4662442906</v>
      </c>
      <c r="D8" s="85"/>
      <c r="E8" s="85"/>
      <c r="F8" s="85"/>
      <c r="G8" s="85"/>
      <c r="H8" s="85"/>
      <c r="I8" s="86"/>
      <c r="K8" s="39">
        <v>5</v>
      </c>
      <c r="L8" s="33" t="e">
        <f>SUM(F61:F72)</f>
        <v>#NUM!</v>
      </c>
    </row>
    <row r="9" spans="2:12" ht="17.25" thickBot="1" x14ac:dyDescent="0.3">
      <c r="B9" s="6" t="s">
        <v>37</v>
      </c>
      <c r="C9" s="85">
        <f>C10-C4</f>
        <v>14941974.379725948</v>
      </c>
      <c r="D9" s="85"/>
      <c r="E9" s="85"/>
      <c r="F9" s="85"/>
      <c r="G9" s="85"/>
      <c r="H9" s="85"/>
      <c r="I9" s="86"/>
      <c r="K9" s="40">
        <v>6</v>
      </c>
      <c r="L9" s="36" t="e">
        <f>SUM(F73:F84)</f>
        <v>#NUM!</v>
      </c>
    </row>
    <row r="10" spans="2:12" ht="16.5" x14ac:dyDescent="0.25">
      <c r="B10" s="6" t="s">
        <v>38</v>
      </c>
      <c r="C10" s="85">
        <f>C8*C6</f>
        <v>114941974.37972595</v>
      </c>
      <c r="D10" s="85"/>
      <c r="E10" s="85"/>
      <c r="F10" s="85"/>
      <c r="G10" s="85"/>
      <c r="H10" s="85"/>
      <c r="I10" s="86"/>
    </row>
    <row r="11" spans="2:12" ht="16.5" x14ac:dyDescent="0.25">
      <c r="B11" s="87"/>
      <c r="C11" s="88"/>
      <c r="D11" s="88"/>
      <c r="E11" s="88"/>
      <c r="F11" s="88"/>
      <c r="G11" s="88"/>
      <c r="H11" s="88"/>
      <c r="I11" s="89"/>
    </row>
    <row r="12" spans="2:12" x14ac:dyDescent="0.25">
      <c r="B12" s="6" t="s">
        <v>39</v>
      </c>
      <c r="C12" s="37" t="s">
        <v>40</v>
      </c>
      <c r="D12" s="37" t="s">
        <v>41</v>
      </c>
      <c r="E12" s="37" t="s">
        <v>42</v>
      </c>
      <c r="F12" s="37" t="s">
        <v>43</v>
      </c>
      <c r="G12" s="37" t="s">
        <v>44</v>
      </c>
      <c r="H12" s="37" t="s">
        <v>45</v>
      </c>
      <c r="I12" s="38" t="s">
        <v>46</v>
      </c>
    </row>
    <row r="13" spans="2:12" ht="16.5" x14ac:dyDescent="0.25">
      <c r="B13" s="32">
        <v>1</v>
      </c>
      <c r="C13" s="7">
        <f>C4</f>
        <v>100000000</v>
      </c>
      <c r="D13" s="7">
        <f>C10</f>
        <v>114941974.37972595</v>
      </c>
      <c r="E13" s="7">
        <f t="shared" ref="E13:E44" si="0">-PPMT($C$5/12,B13,$C$6,$C$4,0,0)</f>
        <v>1811291.1329109573</v>
      </c>
      <c r="F13" s="7">
        <f t="shared" ref="F13:F44" si="1">-IPMT($C$5/12,B13,$C$6,$C$4,0,0)</f>
        <v>583333.33333333337</v>
      </c>
      <c r="G13" s="7">
        <f>SUM(E13:F13)</f>
        <v>2394624.4662442906</v>
      </c>
      <c r="H13" s="7">
        <f t="shared" ref="H13:H44" si="2">C13-E13</f>
        <v>98188708.867089048</v>
      </c>
      <c r="I13" s="33">
        <f t="shared" ref="I13:I44" si="3">D13-G13</f>
        <v>112547349.91348165</v>
      </c>
    </row>
    <row r="14" spans="2:12" ht="16.5" x14ac:dyDescent="0.25">
      <c r="B14" s="32">
        <v>2</v>
      </c>
      <c r="C14" s="7">
        <f>H13</f>
        <v>98188708.867089048</v>
      </c>
      <c r="D14" s="7">
        <f>I13</f>
        <v>112547349.91348165</v>
      </c>
      <c r="E14" s="7">
        <f t="shared" si="0"/>
        <v>1821856.997852938</v>
      </c>
      <c r="F14" s="7">
        <f t="shared" si="1"/>
        <v>572767.4683913528</v>
      </c>
      <c r="G14" s="7">
        <f t="shared" ref="G14:G77" si="4">SUM(E14:F14)</f>
        <v>2394624.4662442906</v>
      </c>
      <c r="H14" s="7">
        <f t="shared" si="2"/>
        <v>96366851.869236112</v>
      </c>
      <c r="I14" s="33">
        <f t="shared" si="3"/>
        <v>110152725.44723736</v>
      </c>
    </row>
    <row r="15" spans="2:12" ht="16.5" x14ac:dyDescent="0.25">
      <c r="B15" s="32">
        <v>3</v>
      </c>
      <c r="C15" s="7">
        <f t="shared" ref="C15:C46" si="5">H14</f>
        <v>96366851.869236112</v>
      </c>
      <c r="D15" s="7">
        <f t="shared" ref="D15:D30" si="6">I14</f>
        <v>110152725.44723736</v>
      </c>
      <c r="E15" s="7">
        <f t="shared" si="0"/>
        <v>1832484.4970070799</v>
      </c>
      <c r="F15" s="7">
        <f t="shared" si="1"/>
        <v>562139.96923721069</v>
      </c>
      <c r="G15" s="7">
        <f t="shared" si="4"/>
        <v>2394624.4662442906</v>
      </c>
      <c r="H15" s="7">
        <f t="shared" si="2"/>
        <v>94534367.372229025</v>
      </c>
      <c r="I15" s="33">
        <f t="shared" si="3"/>
        <v>107758100.98099306</v>
      </c>
    </row>
    <row r="16" spans="2:12" ht="16.5" x14ac:dyDescent="0.25">
      <c r="B16" s="32">
        <v>4</v>
      </c>
      <c r="C16" s="7">
        <f t="shared" si="5"/>
        <v>94534367.372229025</v>
      </c>
      <c r="D16" s="7">
        <f t="shared" si="6"/>
        <v>107758100.98099306</v>
      </c>
      <c r="E16" s="7">
        <f t="shared" si="0"/>
        <v>1843173.9899062882</v>
      </c>
      <c r="F16" s="7">
        <f t="shared" si="1"/>
        <v>551450.47633800271</v>
      </c>
      <c r="G16" s="7">
        <f t="shared" si="4"/>
        <v>2394624.466244291</v>
      </c>
      <c r="H16" s="7">
        <f t="shared" si="2"/>
        <v>92691193.382322744</v>
      </c>
      <c r="I16" s="33">
        <f t="shared" si="3"/>
        <v>105363476.51474877</v>
      </c>
    </row>
    <row r="17" spans="2:9" ht="16.5" x14ac:dyDescent="0.25">
      <c r="B17" s="32">
        <v>5</v>
      </c>
      <c r="C17" s="7">
        <f t="shared" si="5"/>
        <v>92691193.382322744</v>
      </c>
      <c r="D17" s="7">
        <f t="shared" si="6"/>
        <v>105363476.51474877</v>
      </c>
      <c r="E17" s="7">
        <f t="shared" si="0"/>
        <v>1853925.8381807411</v>
      </c>
      <c r="F17" s="7">
        <f t="shared" si="1"/>
        <v>540698.62806354929</v>
      </c>
      <c r="G17" s="7">
        <f t="shared" si="4"/>
        <v>2394624.4662442906</v>
      </c>
      <c r="H17" s="7">
        <f t="shared" si="2"/>
        <v>90837267.544142008</v>
      </c>
      <c r="I17" s="33">
        <f t="shared" si="3"/>
        <v>102968852.04850447</v>
      </c>
    </row>
    <row r="18" spans="2:9" ht="16.5" x14ac:dyDescent="0.25">
      <c r="B18" s="32">
        <v>6</v>
      </c>
      <c r="C18" s="7">
        <f t="shared" si="5"/>
        <v>90837267.544142008</v>
      </c>
      <c r="D18" s="7">
        <f t="shared" si="6"/>
        <v>102968852.04850447</v>
      </c>
      <c r="E18" s="7">
        <f t="shared" si="0"/>
        <v>1864740.4055701294</v>
      </c>
      <c r="F18" s="7">
        <f t="shared" si="1"/>
        <v>529884.06067416165</v>
      </c>
      <c r="G18" s="7">
        <f t="shared" si="4"/>
        <v>2394624.466244291</v>
      </c>
      <c r="H18" s="7">
        <f t="shared" si="2"/>
        <v>88972527.138571873</v>
      </c>
      <c r="I18" s="33">
        <f t="shared" si="3"/>
        <v>100574227.58226018</v>
      </c>
    </row>
    <row r="19" spans="2:9" ht="16.5" x14ac:dyDescent="0.25">
      <c r="B19" s="32">
        <v>7</v>
      </c>
      <c r="C19" s="7">
        <f t="shared" si="5"/>
        <v>88972527.138571873</v>
      </c>
      <c r="D19" s="7">
        <f t="shared" si="6"/>
        <v>100574227.58226018</v>
      </c>
      <c r="E19" s="7">
        <f t="shared" si="0"/>
        <v>1875618.0579359548</v>
      </c>
      <c r="F19" s="7">
        <f t="shared" si="1"/>
        <v>519006.40830833587</v>
      </c>
      <c r="G19" s="7">
        <f t="shared" si="4"/>
        <v>2394624.4662442906</v>
      </c>
      <c r="H19" s="7">
        <f t="shared" si="2"/>
        <v>87096909.08063592</v>
      </c>
      <c r="I19" s="33">
        <f t="shared" si="3"/>
        <v>98179603.116015881</v>
      </c>
    </row>
    <row r="20" spans="2:9" ht="16.5" x14ac:dyDescent="0.25">
      <c r="B20" s="32">
        <v>8</v>
      </c>
      <c r="C20" s="7">
        <f t="shared" si="5"/>
        <v>87096909.08063592</v>
      </c>
      <c r="D20" s="7">
        <f t="shared" si="6"/>
        <v>98179603.116015881</v>
      </c>
      <c r="E20" s="7">
        <f t="shared" si="0"/>
        <v>1886559.1632739145</v>
      </c>
      <c r="F20" s="7">
        <f t="shared" si="1"/>
        <v>508065.30297037616</v>
      </c>
      <c r="G20" s="7">
        <f t="shared" si="4"/>
        <v>2394624.4662442906</v>
      </c>
      <c r="H20" s="7">
        <f t="shared" si="2"/>
        <v>85210349.917362005</v>
      </c>
      <c r="I20" s="33">
        <f t="shared" si="3"/>
        <v>95784978.649771586</v>
      </c>
    </row>
    <row r="21" spans="2:9" ht="16.5" x14ac:dyDescent="0.25">
      <c r="B21" s="32">
        <v>9</v>
      </c>
      <c r="C21" s="7">
        <f t="shared" si="5"/>
        <v>85210349.917362005</v>
      </c>
      <c r="D21" s="7">
        <f t="shared" si="6"/>
        <v>95784978.649771586</v>
      </c>
      <c r="E21" s="7">
        <f t="shared" si="0"/>
        <v>1897564.0917263457</v>
      </c>
      <c r="F21" s="7">
        <f t="shared" si="1"/>
        <v>497060.37451794499</v>
      </c>
      <c r="G21" s="7">
        <f t="shared" si="4"/>
        <v>2394624.4662442906</v>
      </c>
      <c r="H21" s="7">
        <f t="shared" si="2"/>
        <v>83312785.825635657</v>
      </c>
      <c r="I21" s="33">
        <f t="shared" si="3"/>
        <v>93390354.183527291</v>
      </c>
    </row>
    <row r="22" spans="2:9" ht="16.5" x14ac:dyDescent="0.25">
      <c r="B22" s="32">
        <v>10</v>
      </c>
      <c r="C22" s="7">
        <f t="shared" si="5"/>
        <v>83312785.825635657</v>
      </c>
      <c r="D22" s="7">
        <f t="shared" si="6"/>
        <v>93390354.183527291</v>
      </c>
      <c r="E22" s="7">
        <f t="shared" si="0"/>
        <v>1908633.2155947492</v>
      </c>
      <c r="F22" s="7">
        <f t="shared" si="1"/>
        <v>485991.25064954127</v>
      </c>
      <c r="G22" s="7">
        <f t="shared" si="4"/>
        <v>2394624.4662442906</v>
      </c>
      <c r="H22" s="7">
        <f t="shared" si="2"/>
        <v>81404152.610040903</v>
      </c>
      <c r="I22" s="33">
        <f t="shared" si="3"/>
        <v>90995729.717282996</v>
      </c>
    </row>
    <row r="23" spans="2:9" ht="16.5" x14ac:dyDescent="0.25">
      <c r="B23" s="32">
        <v>11</v>
      </c>
      <c r="C23" s="7">
        <f t="shared" si="5"/>
        <v>81404152.610040903</v>
      </c>
      <c r="D23" s="7">
        <f t="shared" si="6"/>
        <v>90995729.717282996</v>
      </c>
      <c r="E23" s="7">
        <f t="shared" si="0"/>
        <v>1919766.9093523854</v>
      </c>
      <c r="F23" s="7">
        <f t="shared" si="1"/>
        <v>474857.55689190532</v>
      </c>
      <c r="G23" s="7">
        <f t="shared" si="4"/>
        <v>2394624.4662442906</v>
      </c>
      <c r="H23" s="7">
        <f t="shared" si="2"/>
        <v>79484385.700688511</v>
      </c>
      <c r="I23" s="33">
        <f t="shared" si="3"/>
        <v>88601105.2510387</v>
      </c>
    </row>
    <row r="24" spans="2:9" ht="16.5" x14ac:dyDescent="0.25">
      <c r="B24" s="32">
        <v>12</v>
      </c>
      <c r="C24" s="7">
        <f t="shared" si="5"/>
        <v>79484385.700688511</v>
      </c>
      <c r="D24" s="7">
        <f t="shared" si="6"/>
        <v>88601105.2510387</v>
      </c>
      <c r="E24" s="7">
        <f t="shared" si="0"/>
        <v>1930965.5496569409</v>
      </c>
      <c r="F24" s="7">
        <f t="shared" si="1"/>
        <v>463658.91658734967</v>
      </c>
      <c r="G24" s="7">
        <f t="shared" si="4"/>
        <v>2394624.4662442906</v>
      </c>
      <c r="H24" s="7">
        <f t="shared" si="2"/>
        <v>77553420.151031569</v>
      </c>
      <c r="I24" s="33">
        <f t="shared" si="3"/>
        <v>86206480.784794405</v>
      </c>
    </row>
    <row r="25" spans="2:9" ht="16.5" x14ac:dyDescent="0.25">
      <c r="B25" s="32">
        <v>13</v>
      </c>
      <c r="C25" s="7">
        <f t="shared" si="5"/>
        <v>77553420.151031569</v>
      </c>
      <c r="D25" s="7">
        <f t="shared" si="6"/>
        <v>86206480.784794405</v>
      </c>
      <c r="E25" s="7">
        <f t="shared" si="0"/>
        <v>1942229.5153632732</v>
      </c>
      <c r="F25" s="7">
        <f t="shared" si="1"/>
        <v>452394.9508810176</v>
      </c>
      <c r="G25" s="7">
        <f t="shared" si="4"/>
        <v>2394624.4662442906</v>
      </c>
      <c r="H25" s="7">
        <f t="shared" si="2"/>
        <v>75611190.635668293</v>
      </c>
      <c r="I25" s="33">
        <f t="shared" si="3"/>
        <v>83811856.31855011</v>
      </c>
    </row>
    <row r="26" spans="2:9" ht="16.5" x14ac:dyDescent="0.25">
      <c r="B26" s="32">
        <v>14</v>
      </c>
      <c r="C26" s="7">
        <f t="shared" si="5"/>
        <v>75611190.635668293</v>
      </c>
      <c r="D26" s="7">
        <f t="shared" si="6"/>
        <v>83811856.31855011</v>
      </c>
      <c r="E26" s="7">
        <f t="shared" si="0"/>
        <v>1953559.1875362254</v>
      </c>
      <c r="F26" s="7">
        <f t="shared" si="1"/>
        <v>441065.27870806505</v>
      </c>
      <c r="G26" s="7">
        <f t="shared" si="4"/>
        <v>2394624.4662442906</v>
      </c>
      <c r="H26" s="7">
        <f t="shared" si="2"/>
        <v>73657631.448132068</v>
      </c>
      <c r="I26" s="33">
        <f t="shared" si="3"/>
        <v>81417231.852305815</v>
      </c>
    </row>
    <row r="27" spans="2:9" ht="16.5" x14ac:dyDescent="0.25">
      <c r="B27" s="32">
        <v>15</v>
      </c>
      <c r="C27" s="7">
        <f t="shared" si="5"/>
        <v>73657631.448132068</v>
      </c>
      <c r="D27" s="7">
        <f t="shared" si="6"/>
        <v>81417231.852305815</v>
      </c>
      <c r="E27" s="7">
        <f t="shared" si="0"/>
        <v>1964954.9494635202</v>
      </c>
      <c r="F27" s="7">
        <f t="shared" si="1"/>
        <v>429669.5167807705</v>
      </c>
      <c r="G27" s="7">
        <f t="shared" si="4"/>
        <v>2394624.4662442906</v>
      </c>
      <c r="H27" s="7">
        <f t="shared" si="2"/>
        <v>71692676.498668551</v>
      </c>
      <c r="I27" s="33">
        <f t="shared" si="3"/>
        <v>79022607.386061519</v>
      </c>
    </row>
    <row r="28" spans="2:9" ht="16.5" x14ac:dyDescent="0.25">
      <c r="B28" s="32">
        <v>16</v>
      </c>
      <c r="C28" s="7">
        <f t="shared" si="5"/>
        <v>71692676.498668551</v>
      </c>
      <c r="D28" s="7">
        <f t="shared" si="6"/>
        <v>79022607.386061519</v>
      </c>
      <c r="E28" s="7">
        <f t="shared" si="0"/>
        <v>1976417.1866687241</v>
      </c>
      <c r="F28" s="7">
        <f t="shared" si="1"/>
        <v>418207.27957556659</v>
      </c>
      <c r="G28" s="7">
        <f t="shared" si="4"/>
        <v>2394624.4662442906</v>
      </c>
      <c r="H28" s="7">
        <f t="shared" si="2"/>
        <v>69716259.311999828</v>
      </c>
      <c r="I28" s="33">
        <f t="shared" si="3"/>
        <v>76627982.919817224</v>
      </c>
    </row>
    <row r="29" spans="2:9" ht="16.5" x14ac:dyDescent="0.25">
      <c r="B29" s="32">
        <v>17</v>
      </c>
      <c r="C29" s="7">
        <f t="shared" si="5"/>
        <v>69716259.311999828</v>
      </c>
      <c r="D29" s="7">
        <f t="shared" si="6"/>
        <v>76627982.919817224</v>
      </c>
      <c r="E29" s="7">
        <f t="shared" si="0"/>
        <v>1987946.2869242919</v>
      </c>
      <c r="F29" s="7">
        <f t="shared" si="1"/>
        <v>406678.17931999901</v>
      </c>
      <c r="G29" s="7">
        <f t="shared" si="4"/>
        <v>2394624.466244291</v>
      </c>
      <c r="H29" s="7">
        <f t="shared" si="2"/>
        <v>67728313.02507554</v>
      </c>
      <c r="I29" s="33">
        <f t="shared" si="3"/>
        <v>74233358.453572929</v>
      </c>
    </row>
    <row r="30" spans="2:9" ht="16.5" x14ac:dyDescent="0.25">
      <c r="B30" s="32">
        <v>18</v>
      </c>
      <c r="C30" s="7">
        <f t="shared" si="5"/>
        <v>67728313.02507554</v>
      </c>
      <c r="D30" s="7">
        <f t="shared" si="6"/>
        <v>74233358.453572929</v>
      </c>
      <c r="E30" s="7">
        <f t="shared" si="0"/>
        <v>1999542.6402646832</v>
      </c>
      <c r="F30" s="7">
        <f t="shared" si="1"/>
        <v>395081.82597960735</v>
      </c>
      <c r="G30" s="7">
        <f t="shared" si="4"/>
        <v>2394624.4662442906</v>
      </c>
      <c r="H30" s="7">
        <f t="shared" si="2"/>
        <v>65728770.384810857</v>
      </c>
      <c r="I30" s="33">
        <f t="shared" si="3"/>
        <v>71838733.987328634</v>
      </c>
    </row>
    <row r="31" spans="2:9" ht="16.5" x14ac:dyDescent="0.25">
      <c r="B31" s="32">
        <v>19</v>
      </c>
      <c r="C31" s="7">
        <f t="shared" si="5"/>
        <v>65728770.384810857</v>
      </c>
      <c r="D31" s="7">
        <f t="shared" ref="D31:D46" si="7">I30</f>
        <v>71838733.987328634</v>
      </c>
      <c r="E31" s="7">
        <f t="shared" si="0"/>
        <v>2011206.6389995606</v>
      </c>
      <c r="F31" s="7">
        <f t="shared" si="1"/>
        <v>383417.82724472997</v>
      </c>
      <c r="G31" s="7">
        <f t="shared" si="4"/>
        <v>2394624.4662442906</v>
      </c>
      <c r="H31" s="7">
        <f t="shared" si="2"/>
        <v>63717563.745811298</v>
      </c>
      <c r="I31" s="33">
        <f t="shared" si="3"/>
        <v>69444109.521084338</v>
      </c>
    </row>
    <row r="32" spans="2:9" ht="16.5" x14ac:dyDescent="0.25">
      <c r="B32" s="32">
        <v>20</v>
      </c>
      <c r="C32" s="7">
        <f t="shared" si="5"/>
        <v>63717563.745811298</v>
      </c>
      <c r="D32" s="7">
        <f t="shared" si="7"/>
        <v>69444109.521084338</v>
      </c>
      <c r="E32" s="7">
        <f t="shared" si="0"/>
        <v>2022938.6777270581</v>
      </c>
      <c r="F32" s="7">
        <f t="shared" si="1"/>
        <v>371685.78851723258</v>
      </c>
      <c r="G32" s="7">
        <f t="shared" si="4"/>
        <v>2394624.4662442906</v>
      </c>
      <c r="H32" s="7">
        <f t="shared" si="2"/>
        <v>61694625.06808424</v>
      </c>
      <c r="I32" s="33">
        <f t="shared" si="3"/>
        <v>67049485.054840051</v>
      </c>
    </row>
    <row r="33" spans="2:9" ht="16.5" x14ac:dyDescent="0.25">
      <c r="B33" s="32">
        <v>21</v>
      </c>
      <c r="C33" s="7">
        <f t="shared" si="5"/>
        <v>61694625.06808424</v>
      </c>
      <c r="D33" s="7">
        <f t="shared" si="7"/>
        <v>67049485.054840051</v>
      </c>
      <c r="E33" s="7">
        <f t="shared" si="0"/>
        <v>2034739.1533471325</v>
      </c>
      <c r="F33" s="7">
        <f t="shared" si="1"/>
        <v>359885.31289715809</v>
      </c>
      <c r="G33" s="7">
        <f t="shared" si="4"/>
        <v>2394624.4662442906</v>
      </c>
      <c r="H33" s="7">
        <f t="shared" si="2"/>
        <v>59659885.914737105</v>
      </c>
      <c r="I33" s="33">
        <f t="shared" si="3"/>
        <v>64654860.588595763</v>
      </c>
    </row>
    <row r="34" spans="2:9" ht="16.5" x14ac:dyDescent="0.25">
      <c r="B34" s="32">
        <v>22</v>
      </c>
      <c r="C34" s="7">
        <f t="shared" si="5"/>
        <v>59659885.914737105</v>
      </c>
      <c r="D34" s="7">
        <f t="shared" si="7"/>
        <v>64654860.588595763</v>
      </c>
      <c r="E34" s="7">
        <f t="shared" si="0"/>
        <v>2046608.4650749909</v>
      </c>
      <c r="F34" s="7">
        <f t="shared" si="1"/>
        <v>348016.00116929977</v>
      </c>
      <c r="G34" s="7">
        <f t="shared" si="4"/>
        <v>2394624.4662442906</v>
      </c>
      <c r="H34" s="7">
        <f t="shared" si="2"/>
        <v>57613277.449662112</v>
      </c>
      <c r="I34" s="33">
        <f t="shared" si="3"/>
        <v>62260236.122351475</v>
      </c>
    </row>
    <row r="35" spans="2:9" ht="16.5" x14ac:dyDescent="0.25">
      <c r="B35" s="32">
        <v>23</v>
      </c>
      <c r="C35" s="7">
        <f t="shared" si="5"/>
        <v>57613277.449662112</v>
      </c>
      <c r="D35" s="7">
        <f t="shared" si="7"/>
        <v>62260236.122351475</v>
      </c>
      <c r="E35" s="7">
        <f t="shared" si="0"/>
        <v>2058547.0144545948</v>
      </c>
      <c r="F35" s="7">
        <f t="shared" si="1"/>
        <v>336077.45178969571</v>
      </c>
      <c r="G35" s="7">
        <f t="shared" si="4"/>
        <v>2394624.4662442906</v>
      </c>
      <c r="H35" s="7">
        <f t="shared" si="2"/>
        <v>55554730.435207516</v>
      </c>
      <c r="I35" s="33">
        <f t="shared" si="3"/>
        <v>59865611.656107187</v>
      </c>
    </row>
    <row r="36" spans="2:9" ht="16.5" x14ac:dyDescent="0.25">
      <c r="B36" s="32">
        <v>24</v>
      </c>
      <c r="C36" s="7">
        <f t="shared" si="5"/>
        <v>55554730.435207516</v>
      </c>
      <c r="D36" s="7">
        <f t="shared" si="7"/>
        <v>59865611.656107187</v>
      </c>
      <c r="E36" s="7">
        <f t="shared" si="0"/>
        <v>2070555.2053722467</v>
      </c>
      <c r="F36" s="7">
        <f t="shared" si="1"/>
        <v>324069.2608720439</v>
      </c>
      <c r="G36" s="7">
        <f t="shared" si="4"/>
        <v>2394624.4662442906</v>
      </c>
      <c r="H36" s="7">
        <f t="shared" si="2"/>
        <v>53484175.229835272</v>
      </c>
      <c r="I36" s="33">
        <f t="shared" si="3"/>
        <v>57470987.189862899</v>
      </c>
    </row>
    <row r="37" spans="2:9" ht="16.5" x14ac:dyDescent="0.25">
      <c r="B37" s="32">
        <v>25</v>
      </c>
      <c r="C37" s="7">
        <f t="shared" si="5"/>
        <v>53484175.229835272</v>
      </c>
      <c r="D37" s="7">
        <f t="shared" si="7"/>
        <v>57470987.189862899</v>
      </c>
      <c r="E37" s="7">
        <f t="shared" si="0"/>
        <v>2082633.4440702517</v>
      </c>
      <c r="F37" s="7">
        <f t="shared" si="1"/>
        <v>311991.02217403916</v>
      </c>
      <c r="G37" s="7">
        <f t="shared" si="4"/>
        <v>2394624.4662442906</v>
      </c>
      <c r="H37" s="7">
        <f t="shared" si="2"/>
        <v>51401541.785765022</v>
      </c>
      <c r="I37" s="33">
        <f t="shared" si="3"/>
        <v>55076362.723618612</v>
      </c>
    </row>
    <row r="38" spans="2:9" ht="16.5" x14ac:dyDescent="0.25">
      <c r="B38" s="32">
        <v>26</v>
      </c>
      <c r="C38" s="7">
        <f t="shared" si="5"/>
        <v>51401541.785765022</v>
      </c>
      <c r="D38" s="7">
        <f t="shared" si="7"/>
        <v>55076362.723618612</v>
      </c>
      <c r="E38" s="7">
        <f t="shared" si="0"/>
        <v>2094782.1391606613</v>
      </c>
      <c r="F38" s="7">
        <f t="shared" si="1"/>
        <v>299842.32708362926</v>
      </c>
      <c r="G38" s="7">
        <f t="shared" si="4"/>
        <v>2394624.4662442906</v>
      </c>
      <c r="H38" s="7">
        <f t="shared" si="2"/>
        <v>49306759.646604359</v>
      </c>
      <c r="I38" s="33">
        <f t="shared" si="3"/>
        <v>52681738.257374324</v>
      </c>
    </row>
    <row r="39" spans="2:9" ht="16.5" x14ac:dyDescent="0.25">
      <c r="B39" s="32">
        <v>27</v>
      </c>
      <c r="C39" s="7">
        <f t="shared" si="5"/>
        <v>49306759.646604359</v>
      </c>
      <c r="D39" s="7">
        <f t="shared" si="7"/>
        <v>52681738.257374324</v>
      </c>
      <c r="E39" s="7">
        <f t="shared" si="0"/>
        <v>2107001.7016390986</v>
      </c>
      <c r="F39" s="7">
        <f t="shared" si="1"/>
        <v>287622.76460519206</v>
      </c>
      <c r="G39" s="7">
        <f t="shared" si="4"/>
        <v>2394624.4662442906</v>
      </c>
      <c r="H39" s="7">
        <f t="shared" si="2"/>
        <v>47199757.944965258</v>
      </c>
      <c r="I39" s="33">
        <f t="shared" si="3"/>
        <v>50287113.791130036</v>
      </c>
    </row>
    <row r="40" spans="2:9" ht="16.5" x14ac:dyDescent="0.25">
      <c r="B40" s="32">
        <v>28</v>
      </c>
      <c r="C40" s="7">
        <f t="shared" si="5"/>
        <v>47199757.944965258</v>
      </c>
      <c r="D40" s="7">
        <f t="shared" si="7"/>
        <v>50287113.791130036</v>
      </c>
      <c r="E40" s="7">
        <f t="shared" si="0"/>
        <v>2119292.5448986599</v>
      </c>
      <c r="F40" s="7">
        <f t="shared" si="1"/>
        <v>275331.92134563066</v>
      </c>
      <c r="G40" s="7">
        <f t="shared" si="4"/>
        <v>2394624.4662442906</v>
      </c>
      <c r="H40" s="7">
        <f t="shared" si="2"/>
        <v>45080465.400066599</v>
      </c>
      <c r="I40" s="33">
        <f t="shared" si="3"/>
        <v>47892489.324885748</v>
      </c>
    </row>
    <row r="41" spans="2:9" ht="16.5" x14ac:dyDescent="0.25">
      <c r="B41" s="32">
        <v>29</v>
      </c>
      <c r="C41" s="7">
        <f t="shared" si="5"/>
        <v>45080465.400066599</v>
      </c>
      <c r="D41" s="7">
        <f t="shared" si="7"/>
        <v>47892489.324885748</v>
      </c>
      <c r="E41" s="7">
        <f t="shared" si="0"/>
        <v>2131655.0847439021</v>
      </c>
      <c r="F41" s="7">
        <f t="shared" si="1"/>
        <v>262969.38150038844</v>
      </c>
      <c r="G41" s="7">
        <f t="shared" si="4"/>
        <v>2394624.4662442906</v>
      </c>
      <c r="H41" s="7">
        <f t="shared" si="2"/>
        <v>42948810.315322697</v>
      </c>
      <c r="I41" s="33">
        <f t="shared" si="3"/>
        <v>45497864.858641461</v>
      </c>
    </row>
    <row r="42" spans="2:9" ht="16.5" x14ac:dyDescent="0.25">
      <c r="B42" s="32">
        <v>30</v>
      </c>
      <c r="C42" s="7">
        <f t="shared" si="5"/>
        <v>42948810.315322697</v>
      </c>
      <c r="D42" s="7">
        <f t="shared" si="7"/>
        <v>45497864.858641461</v>
      </c>
      <c r="E42" s="7">
        <f t="shared" si="0"/>
        <v>2144089.7394049084</v>
      </c>
      <c r="F42" s="7">
        <f t="shared" si="1"/>
        <v>250534.72683938241</v>
      </c>
      <c r="G42" s="7">
        <f t="shared" si="4"/>
        <v>2394624.4662442906</v>
      </c>
      <c r="H42" s="7">
        <f t="shared" si="2"/>
        <v>40804720.575917788</v>
      </c>
      <c r="I42" s="33">
        <f t="shared" si="3"/>
        <v>43103240.392397173</v>
      </c>
    </row>
    <row r="43" spans="2:9" ht="16.5" x14ac:dyDescent="0.25">
      <c r="B43" s="32">
        <v>31</v>
      </c>
      <c r="C43" s="7">
        <f t="shared" si="5"/>
        <v>40804720.575917788</v>
      </c>
      <c r="D43" s="7">
        <f t="shared" si="7"/>
        <v>43103240.392397173</v>
      </c>
      <c r="E43" s="7">
        <f t="shared" si="0"/>
        <v>2156596.929551437</v>
      </c>
      <c r="F43" s="7">
        <f t="shared" si="1"/>
        <v>238027.53669285381</v>
      </c>
      <c r="G43" s="7">
        <f t="shared" si="4"/>
        <v>2394624.466244291</v>
      </c>
      <c r="H43" s="7">
        <f t="shared" si="2"/>
        <v>38648123.64636635</v>
      </c>
      <c r="I43" s="33">
        <f t="shared" si="3"/>
        <v>40708615.926152885</v>
      </c>
    </row>
    <row r="44" spans="2:9" ht="16.5" x14ac:dyDescent="0.25">
      <c r="B44" s="32">
        <v>32</v>
      </c>
      <c r="C44" s="7">
        <f t="shared" si="5"/>
        <v>38648123.64636635</v>
      </c>
      <c r="D44" s="7">
        <f t="shared" si="7"/>
        <v>40708615.926152885</v>
      </c>
      <c r="E44" s="7">
        <f t="shared" si="0"/>
        <v>2169177.0783071537</v>
      </c>
      <c r="F44" s="7">
        <f t="shared" si="1"/>
        <v>225447.3879371371</v>
      </c>
      <c r="G44" s="7">
        <f t="shared" si="4"/>
        <v>2394624.4662442906</v>
      </c>
      <c r="H44" s="7">
        <f t="shared" si="2"/>
        <v>36478946.568059199</v>
      </c>
      <c r="I44" s="33">
        <f t="shared" si="3"/>
        <v>38313991.459908597</v>
      </c>
    </row>
    <row r="45" spans="2:9" ht="16.5" x14ac:dyDescent="0.25">
      <c r="B45" s="32">
        <v>33</v>
      </c>
      <c r="C45" s="7">
        <f t="shared" si="5"/>
        <v>36478946.568059199</v>
      </c>
      <c r="D45" s="7">
        <f t="shared" si="7"/>
        <v>38313991.459908597</v>
      </c>
      <c r="E45" s="7">
        <f t="shared" ref="E45:E76" si="8">-PPMT($C$5/12,B45,$C$6,$C$4,0,0)</f>
        <v>2181830.6112639452</v>
      </c>
      <c r="F45" s="7">
        <f t="shared" ref="F45:F76" si="9">-IPMT($C$5/12,B45,$C$6,$C$4,0,0)</f>
        <v>212793.85498034532</v>
      </c>
      <c r="G45" s="7">
        <f t="shared" si="4"/>
        <v>2394624.4662442906</v>
      </c>
      <c r="H45" s="7">
        <f t="shared" ref="H45:H76" si="10">C45-E45</f>
        <v>34297115.956795253</v>
      </c>
      <c r="I45" s="33">
        <f t="shared" ref="I45:I76" si="11">D45-G45</f>
        <v>35919366.993664309</v>
      </c>
    </row>
    <row r="46" spans="2:9" ht="16.5" x14ac:dyDescent="0.25">
      <c r="B46" s="32">
        <v>34</v>
      </c>
      <c r="C46" s="7">
        <f t="shared" si="5"/>
        <v>34297115.956795253</v>
      </c>
      <c r="D46" s="7">
        <f t="shared" si="7"/>
        <v>35919366.993664309</v>
      </c>
      <c r="E46" s="7">
        <f t="shared" si="8"/>
        <v>2194557.9564963183</v>
      </c>
      <c r="F46" s="7">
        <f t="shared" si="9"/>
        <v>200066.5097479723</v>
      </c>
      <c r="G46" s="7">
        <f t="shared" si="4"/>
        <v>2394624.4662442906</v>
      </c>
      <c r="H46" s="7">
        <f t="shared" si="10"/>
        <v>32102558.000298936</v>
      </c>
      <c r="I46" s="33">
        <f t="shared" si="11"/>
        <v>33524742.527420018</v>
      </c>
    </row>
    <row r="47" spans="2:9" ht="16.5" x14ac:dyDescent="0.25">
      <c r="B47" s="32">
        <v>35</v>
      </c>
      <c r="C47" s="7">
        <f t="shared" ref="C47:C78" si="12">H46</f>
        <v>32102558.000298936</v>
      </c>
      <c r="D47" s="7">
        <f t="shared" ref="D47:D84" si="13">I46</f>
        <v>33524742.527420018</v>
      </c>
      <c r="E47" s="7">
        <f t="shared" si="8"/>
        <v>2207359.5445758803</v>
      </c>
      <c r="F47" s="7">
        <f t="shared" si="9"/>
        <v>187264.92166841045</v>
      </c>
      <c r="G47" s="7">
        <f t="shared" si="4"/>
        <v>2394624.4662442906</v>
      </c>
      <c r="H47" s="7">
        <f t="shared" si="10"/>
        <v>29895198.455723055</v>
      </c>
      <c r="I47" s="33">
        <f t="shared" si="11"/>
        <v>31130118.061175726</v>
      </c>
    </row>
    <row r="48" spans="2:9" ht="16.5" x14ac:dyDescent="0.25">
      <c r="B48" s="32">
        <v>36</v>
      </c>
      <c r="C48" s="7">
        <f t="shared" si="12"/>
        <v>29895198.455723055</v>
      </c>
      <c r="D48" s="7">
        <f t="shared" si="13"/>
        <v>31130118.061175726</v>
      </c>
      <c r="E48" s="7">
        <f t="shared" si="8"/>
        <v>2220235.8085859064</v>
      </c>
      <c r="F48" s="7">
        <f t="shared" si="9"/>
        <v>174388.6576583845</v>
      </c>
      <c r="G48" s="7">
        <f t="shared" si="4"/>
        <v>2394624.466244291</v>
      </c>
      <c r="H48" s="7">
        <f t="shared" si="10"/>
        <v>27674962.64713715</v>
      </c>
      <c r="I48" s="33">
        <f t="shared" si="11"/>
        <v>28735493.594931435</v>
      </c>
    </row>
    <row r="49" spans="2:9" ht="16.5" x14ac:dyDescent="0.25">
      <c r="B49" s="32">
        <v>37</v>
      </c>
      <c r="C49" s="7">
        <f t="shared" si="12"/>
        <v>27674962.64713715</v>
      </c>
      <c r="D49" s="7">
        <f t="shared" si="13"/>
        <v>28735493.594931435</v>
      </c>
      <c r="E49" s="7">
        <f t="shared" si="8"/>
        <v>2233187.1841359907</v>
      </c>
      <c r="F49" s="7">
        <f t="shared" si="9"/>
        <v>161437.28210830002</v>
      </c>
      <c r="G49" s="7">
        <f t="shared" si="4"/>
        <v>2394624.4662442906</v>
      </c>
      <c r="H49" s="7">
        <f t="shared" si="10"/>
        <v>25441775.463001158</v>
      </c>
      <c r="I49" s="33">
        <f t="shared" si="11"/>
        <v>26340869.128687143</v>
      </c>
    </row>
    <row r="50" spans="2:9" ht="16.5" x14ac:dyDescent="0.25">
      <c r="B50" s="32">
        <v>38</v>
      </c>
      <c r="C50" s="7">
        <f t="shared" si="12"/>
        <v>25441775.463001158</v>
      </c>
      <c r="D50" s="7">
        <f t="shared" si="13"/>
        <v>26340869.128687143</v>
      </c>
      <c r="E50" s="7">
        <f t="shared" si="8"/>
        <v>2246214.1093767839</v>
      </c>
      <c r="F50" s="7">
        <f t="shared" si="9"/>
        <v>148410.35686750675</v>
      </c>
      <c r="G50" s="7">
        <f t="shared" si="4"/>
        <v>2394624.4662442906</v>
      </c>
      <c r="H50" s="7">
        <f t="shared" si="10"/>
        <v>23195561.353624374</v>
      </c>
      <c r="I50" s="33">
        <f t="shared" si="11"/>
        <v>23946244.662442852</v>
      </c>
    </row>
    <row r="51" spans="2:9" ht="16.5" x14ac:dyDescent="0.25">
      <c r="B51" s="32">
        <v>39</v>
      </c>
      <c r="C51" s="7">
        <f t="shared" si="12"/>
        <v>23195561.353624374</v>
      </c>
      <c r="D51" s="7">
        <f t="shared" si="13"/>
        <v>23946244.662442852</v>
      </c>
      <c r="E51" s="7">
        <f t="shared" si="8"/>
        <v>2259317.0250148154</v>
      </c>
      <c r="F51" s="7">
        <f t="shared" si="9"/>
        <v>135307.44122947549</v>
      </c>
      <c r="G51" s="7">
        <f t="shared" si="4"/>
        <v>2394624.466244291</v>
      </c>
      <c r="H51" s="7">
        <f t="shared" si="10"/>
        <v>20936244.32860956</v>
      </c>
      <c r="I51" s="33">
        <f t="shared" si="11"/>
        <v>21551620.19619856</v>
      </c>
    </row>
    <row r="52" spans="2:9" ht="16.5" x14ac:dyDescent="0.25">
      <c r="B52" s="32">
        <v>40</v>
      </c>
      <c r="C52" s="7">
        <f t="shared" si="12"/>
        <v>20936244.32860956</v>
      </c>
      <c r="D52" s="7">
        <f t="shared" si="13"/>
        <v>21551620.19619856</v>
      </c>
      <c r="E52" s="7">
        <f t="shared" si="8"/>
        <v>2272496.3743274016</v>
      </c>
      <c r="F52" s="7">
        <f t="shared" si="9"/>
        <v>122128.0919168891</v>
      </c>
      <c r="G52" s="7">
        <f t="shared" si="4"/>
        <v>2394624.4662442906</v>
      </c>
      <c r="H52" s="7">
        <f t="shared" si="10"/>
        <v>18663747.954282157</v>
      </c>
      <c r="I52" s="33">
        <f t="shared" si="11"/>
        <v>19156995.729954269</v>
      </c>
    </row>
    <row r="53" spans="2:9" ht="16.5" x14ac:dyDescent="0.25">
      <c r="B53" s="32">
        <v>41</v>
      </c>
      <c r="C53" s="7">
        <f t="shared" si="12"/>
        <v>18663747.954282157</v>
      </c>
      <c r="D53" s="7">
        <f t="shared" si="13"/>
        <v>19156995.729954269</v>
      </c>
      <c r="E53" s="7">
        <f t="shared" si="8"/>
        <v>2285752.6031776448</v>
      </c>
      <c r="F53" s="7">
        <f t="shared" si="9"/>
        <v>108871.86306664591</v>
      </c>
      <c r="G53" s="7">
        <f t="shared" si="4"/>
        <v>2394624.4662442906</v>
      </c>
      <c r="H53" s="7">
        <f t="shared" si="10"/>
        <v>16377995.351104513</v>
      </c>
      <c r="I53" s="33">
        <f t="shared" si="11"/>
        <v>16762371.263709977</v>
      </c>
    </row>
    <row r="54" spans="2:9" ht="16.5" x14ac:dyDescent="0.25">
      <c r="B54" s="32">
        <v>42</v>
      </c>
      <c r="C54" s="7">
        <f t="shared" si="12"/>
        <v>16377995.351104513</v>
      </c>
      <c r="D54" s="7">
        <f t="shared" si="13"/>
        <v>16762371.263709977</v>
      </c>
      <c r="E54" s="7">
        <f t="shared" si="8"/>
        <v>2299086.1600295142</v>
      </c>
      <c r="F54" s="7">
        <f t="shared" si="9"/>
        <v>95538.306214776298</v>
      </c>
      <c r="G54" s="7">
        <f t="shared" si="4"/>
        <v>2394624.4662442906</v>
      </c>
      <c r="H54" s="7">
        <f t="shared" si="10"/>
        <v>14078909.191074999</v>
      </c>
      <c r="I54" s="33">
        <f t="shared" si="11"/>
        <v>14367746.797465686</v>
      </c>
    </row>
    <row r="55" spans="2:9" ht="16.5" x14ac:dyDescent="0.25">
      <c r="B55" s="32">
        <v>43</v>
      </c>
      <c r="C55" s="7">
        <f t="shared" si="12"/>
        <v>14078909.191074999</v>
      </c>
      <c r="D55" s="7">
        <f t="shared" si="13"/>
        <v>14367746.797465686</v>
      </c>
      <c r="E55" s="7">
        <f t="shared" si="8"/>
        <v>2312497.4959630198</v>
      </c>
      <c r="F55" s="7">
        <f t="shared" si="9"/>
        <v>82126.970281270813</v>
      </c>
      <c r="G55" s="7">
        <f t="shared" si="4"/>
        <v>2394624.4662442906</v>
      </c>
      <c r="H55" s="7">
        <f t="shared" si="10"/>
        <v>11766411.695111979</v>
      </c>
      <c r="I55" s="33">
        <f t="shared" si="11"/>
        <v>11973122.331221394</v>
      </c>
    </row>
    <row r="56" spans="2:9" ht="16.5" x14ac:dyDescent="0.25">
      <c r="B56" s="32">
        <v>44</v>
      </c>
      <c r="C56" s="7">
        <f t="shared" si="12"/>
        <v>11766411.695111979</v>
      </c>
      <c r="D56" s="7">
        <f t="shared" si="13"/>
        <v>11973122.331221394</v>
      </c>
      <c r="E56" s="7">
        <f t="shared" si="8"/>
        <v>2325987.0646894709</v>
      </c>
      <c r="F56" s="7">
        <f t="shared" si="9"/>
        <v>68637.401554819851</v>
      </c>
      <c r="G56" s="7">
        <f t="shared" si="4"/>
        <v>2394624.4662442906</v>
      </c>
      <c r="H56" s="7">
        <f t="shared" si="10"/>
        <v>9440424.6304225083</v>
      </c>
      <c r="I56" s="33">
        <f t="shared" si="11"/>
        <v>9578497.8649771027</v>
      </c>
    </row>
    <row r="57" spans="2:9" ht="16.5" x14ac:dyDescent="0.25">
      <c r="B57" s="32">
        <v>45</v>
      </c>
      <c r="C57" s="7">
        <f t="shared" si="12"/>
        <v>9440424.6304225083</v>
      </c>
      <c r="D57" s="7">
        <f t="shared" si="13"/>
        <v>9578497.8649771027</v>
      </c>
      <c r="E57" s="7">
        <f t="shared" si="8"/>
        <v>2339555.3225668264</v>
      </c>
      <c r="F57" s="7">
        <f t="shared" si="9"/>
        <v>55069.143677464614</v>
      </c>
      <c r="G57" s="7">
        <f t="shared" si="4"/>
        <v>2394624.466244291</v>
      </c>
      <c r="H57" s="7">
        <f t="shared" si="10"/>
        <v>7100869.3078556824</v>
      </c>
      <c r="I57" s="33">
        <f t="shared" si="11"/>
        <v>7183873.3987328112</v>
      </c>
    </row>
    <row r="58" spans="2:9" ht="16.5" x14ac:dyDescent="0.25">
      <c r="B58" s="32">
        <v>46</v>
      </c>
      <c r="C58" s="7">
        <f t="shared" si="12"/>
        <v>7100869.3078556824</v>
      </c>
      <c r="D58" s="7">
        <f t="shared" si="13"/>
        <v>7183873.3987328112</v>
      </c>
      <c r="E58" s="7">
        <f t="shared" si="8"/>
        <v>2353202.7286151326</v>
      </c>
      <c r="F58" s="7">
        <f t="shared" si="9"/>
        <v>41421.737629158131</v>
      </c>
      <c r="G58" s="7">
        <f t="shared" si="4"/>
        <v>2394624.4662442906</v>
      </c>
      <c r="H58" s="7">
        <f t="shared" si="10"/>
        <v>4747666.5792405494</v>
      </c>
      <c r="I58" s="33">
        <f t="shared" si="11"/>
        <v>4789248.9324885206</v>
      </c>
    </row>
    <row r="59" spans="2:9" ht="16.5" x14ac:dyDescent="0.25">
      <c r="B59" s="32">
        <v>47</v>
      </c>
      <c r="C59" s="7">
        <f t="shared" si="12"/>
        <v>4747666.5792405494</v>
      </c>
      <c r="D59" s="7">
        <f t="shared" si="13"/>
        <v>4789248.9324885206</v>
      </c>
      <c r="E59" s="7">
        <f t="shared" si="8"/>
        <v>2366929.7445320543</v>
      </c>
      <c r="F59" s="7">
        <f t="shared" si="9"/>
        <v>27694.721712236518</v>
      </c>
      <c r="G59" s="7">
        <f t="shared" si="4"/>
        <v>2394624.4662442906</v>
      </c>
      <c r="H59" s="7">
        <f t="shared" si="10"/>
        <v>2380736.8347084951</v>
      </c>
      <c r="I59" s="33">
        <f t="shared" si="11"/>
        <v>2394624.46624423</v>
      </c>
    </row>
    <row r="60" spans="2:9" ht="16.5" x14ac:dyDescent="0.25">
      <c r="B60" s="32">
        <v>48</v>
      </c>
      <c r="C60" s="7">
        <f t="shared" si="12"/>
        <v>2380736.8347084951</v>
      </c>
      <c r="D60" s="7">
        <f t="shared" si="13"/>
        <v>2394624.46624423</v>
      </c>
      <c r="E60" s="7">
        <f t="shared" si="8"/>
        <v>2380736.8347084913</v>
      </c>
      <c r="F60" s="7">
        <f t="shared" si="9"/>
        <v>13887.631535799534</v>
      </c>
      <c r="G60" s="7">
        <f t="shared" si="4"/>
        <v>2394624.466244291</v>
      </c>
      <c r="H60" s="7">
        <f t="shared" si="10"/>
        <v>3.7252902984619141E-9</v>
      </c>
      <c r="I60" s="33">
        <f t="shared" si="11"/>
        <v>-6.1001628637313843E-8</v>
      </c>
    </row>
    <row r="61" spans="2:9" ht="16.5" x14ac:dyDescent="0.25">
      <c r="B61" s="32">
        <v>49</v>
      </c>
      <c r="C61" s="7">
        <f t="shared" si="12"/>
        <v>3.7252902984619141E-9</v>
      </c>
      <c r="D61" s="7">
        <f t="shared" si="13"/>
        <v>-6.1001628637313843E-8</v>
      </c>
      <c r="E61" s="7" t="e">
        <f t="shared" si="8"/>
        <v>#NUM!</v>
      </c>
      <c r="F61" s="7" t="e">
        <f t="shared" si="9"/>
        <v>#NUM!</v>
      </c>
      <c r="G61" s="7" t="e">
        <f t="shared" si="4"/>
        <v>#NUM!</v>
      </c>
      <c r="H61" s="7" t="e">
        <f t="shared" si="10"/>
        <v>#NUM!</v>
      </c>
      <c r="I61" s="33" t="e">
        <f t="shared" si="11"/>
        <v>#NUM!</v>
      </c>
    </row>
    <row r="62" spans="2:9" ht="16.5" x14ac:dyDescent="0.25">
      <c r="B62" s="32">
        <v>50</v>
      </c>
      <c r="C62" s="7" t="e">
        <f t="shared" si="12"/>
        <v>#NUM!</v>
      </c>
      <c r="D62" s="7" t="e">
        <f t="shared" si="13"/>
        <v>#NUM!</v>
      </c>
      <c r="E62" s="7" t="e">
        <f t="shared" si="8"/>
        <v>#NUM!</v>
      </c>
      <c r="F62" s="7" t="e">
        <f t="shared" si="9"/>
        <v>#NUM!</v>
      </c>
      <c r="G62" s="7" t="e">
        <f t="shared" si="4"/>
        <v>#NUM!</v>
      </c>
      <c r="H62" s="7" t="e">
        <f t="shared" si="10"/>
        <v>#NUM!</v>
      </c>
      <c r="I62" s="33" t="e">
        <f t="shared" si="11"/>
        <v>#NUM!</v>
      </c>
    </row>
    <row r="63" spans="2:9" ht="16.5" x14ac:dyDescent="0.25">
      <c r="B63" s="32">
        <v>51</v>
      </c>
      <c r="C63" s="7" t="e">
        <f t="shared" si="12"/>
        <v>#NUM!</v>
      </c>
      <c r="D63" s="7" t="e">
        <f t="shared" si="13"/>
        <v>#NUM!</v>
      </c>
      <c r="E63" s="7" t="e">
        <f t="shared" si="8"/>
        <v>#NUM!</v>
      </c>
      <c r="F63" s="7" t="e">
        <f t="shared" si="9"/>
        <v>#NUM!</v>
      </c>
      <c r="G63" s="7" t="e">
        <f t="shared" si="4"/>
        <v>#NUM!</v>
      </c>
      <c r="H63" s="7" t="e">
        <f t="shared" si="10"/>
        <v>#NUM!</v>
      </c>
      <c r="I63" s="33" t="e">
        <f t="shared" si="11"/>
        <v>#NUM!</v>
      </c>
    </row>
    <row r="64" spans="2:9" ht="16.5" x14ac:dyDescent="0.25">
      <c r="B64" s="32">
        <v>52</v>
      </c>
      <c r="C64" s="7" t="e">
        <f t="shared" si="12"/>
        <v>#NUM!</v>
      </c>
      <c r="D64" s="7" t="e">
        <f t="shared" si="13"/>
        <v>#NUM!</v>
      </c>
      <c r="E64" s="7" t="e">
        <f t="shared" si="8"/>
        <v>#NUM!</v>
      </c>
      <c r="F64" s="7" t="e">
        <f t="shared" si="9"/>
        <v>#NUM!</v>
      </c>
      <c r="G64" s="7" t="e">
        <f t="shared" si="4"/>
        <v>#NUM!</v>
      </c>
      <c r="H64" s="7" t="e">
        <f t="shared" si="10"/>
        <v>#NUM!</v>
      </c>
      <c r="I64" s="33" t="e">
        <f t="shared" si="11"/>
        <v>#NUM!</v>
      </c>
    </row>
    <row r="65" spans="2:9" ht="16.5" x14ac:dyDescent="0.25">
      <c r="B65" s="32">
        <v>53</v>
      </c>
      <c r="C65" s="7" t="e">
        <f t="shared" si="12"/>
        <v>#NUM!</v>
      </c>
      <c r="D65" s="7" t="e">
        <f t="shared" si="13"/>
        <v>#NUM!</v>
      </c>
      <c r="E65" s="7" t="e">
        <f t="shared" si="8"/>
        <v>#NUM!</v>
      </c>
      <c r="F65" s="7" t="e">
        <f t="shared" si="9"/>
        <v>#NUM!</v>
      </c>
      <c r="G65" s="7" t="e">
        <f t="shared" si="4"/>
        <v>#NUM!</v>
      </c>
      <c r="H65" s="7" t="e">
        <f t="shared" si="10"/>
        <v>#NUM!</v>
      </c>
      <c r="I65" s="33" t="e">
        <f t="shared" si="11"/>
        <v>#NUM!</v>
      </c>
    </row>
    <row r="66" spans="2:9" ht="16.5" x14ac:dyDescent="0.25">
      <c r="B66" s="32">
        <v>54</v>
      </c>
      <c r="C66" s="7" t="e">
        <f t="shared" si="12"/>
        <v>#NUM!</v>
      </c>
      <c r="D66" s="7" t="e">
        <f t="shared" si="13"/>
        <v>#NUM!</v>
      </c>
      <c r="E66" s="7" t="e">
        <f t="shared" si="8"/>
        <v>#NUM!</v>
      </c>
      <c r="F66" s="7" t="e">
        <f t="shared" si="9"/>
        <v>#NUM!</v>
      </c>
      <c r="G66" s="7" t="e">
        <f t="shared" si="4"/>
        <v>#NUM!</v>
      </c>
      <c r="H66" s="7" t="e">
        <f t="shared" si="10"/>
        <v>#NUM!</v>
      </c>
      <c r="I66" s="33" t="e">
        <f t="shared" si="11"/>
        <v>#NUM!</v>
      </c>
    </row>
    <row r="67" spans="2:9" ht="16.5" x14ac:dyDescent="0.25">
      <c r="B67" s="32">
        <v>55</v>
      </c>
      <c r="C67" s="7" t="e">
        <f t="shared" si="12"/>
        <v>#NUM!</v>
      </c>
      <c r="D67" s="7" t="e">
        <f t="shared" si="13"/>
        <v>#NUM!</v>
      </c>
      <c r="E67" s="7" t="e">
        <f t="shared" si="8"/>
        <v>#NUM!</v>
      </c>
      <c r="F67" s="7" t="e">
        <f t="shared" si="9"/>
        <v>#NUM!</v>
      </c>
      <c r="G67" s="7" t="e">
        <f t="shared" si="4"/>
        <v>#NUM!</v>
      </c>
      <c r="H67" s="7" t="e">
        <f t="shared" si="10"/>
        <v>#NUM!</v>
      </c>
      <c r="I67" s="33" t="e">
        <f t="shared" si="11"/>
        <v>#NUM!</v>
      </c>
    </row>
    <row r="68" spans="2:9" ht="16.5" x14ac:dyDescent="0.25">
      <c r="B68" s="32">
        <v>56</v>
      </c>
      <c r="C68" s="7" t="e">
        <f t="shared" si="12"/>
        <v>#NUM!</v>
      </c>
      <c r="D68" s="7" t="e">
        <f t="shared" si="13"/>
        <v>#NUM!</v>
      </c>
      <c r="E68" s="7" t="e">
        <f t="shared" si="8"/>
        <v>#NUM!</v>
      </c>
      <c r="F68" s="7" t="e">
        <f t="shared" si="9"/>
        <v>#NUM!</v>
      </c>
      <c r="G68" s="7" t="e">
        <f t="shared" si="4"/>
        <v>#NUM!</v>
      </c>
      <c r="H68" s="7" t="e">
        <f t="shared" si="10"/>
        <v>#NUM!</v>
      </c>
      <c r="I68" s="33" t="e">
        <f t="shared" si="11"/>
        <v>#NUM!</v>
      </c>
    </row>
    <row r="69" spans="2:9" ht="16.5" x14ac:dyDescent="0.25">
      <c r="B69" s="32">
        <v>57</v>
      </c>
      <c r="C69" s="7" t="e">
        <f t="shared" si="12"/>
        <v>#NUM!</v>
      </c>
      <c r="D69" s="7" t="e">
        <f t="shared" si="13"/>
        <v>#NUM!</v>
      </c>
      <c r="E69" s="7" t="e">
        <f t="shared" si="8"/>
        <v>#NUM!</v>
      </c>
      <c r="F69" s="7" t="e">
        <f t="shared" si="9"/>
        <v>#NUM!</v>
      </c>
      <c r="G69" s="7" t="e">
        <f t="shared" si="4"/>
        <v>#NUM!</v>
      </c>
      <c r="H69" s="7" t="e">
        <f t="shared" si="10"/>
        <v>#NUM!</v>
      </c>
      <c r="I69" s="33" t="e">
        <f t="shared" si="11"/>
        <v>#NUM!</v>
      </c>
    </row>
    <row r="70" spans="2:9" ht="16.5" x14ac:dyDescent="0.25">
      <c r="B70" s="32">
        <v>58</v>
      </c>
      <c r="C70" s="7" t="e">
        <f t="shared" si="12"/>
        <v>#NUM!</v>
      </c>
      <c r="D70" s="7" t="e">
        <f t="shared" si="13"/>
        <v>#NUM!</v>
      </c>
      <c r="E70" s="7" t="e">
        <f t="shared" si="8"/>
        <v>#NUM!</v>
      </c>
      <c r="F70" s="7" t="e">
        <f t="shared" si="9"/>
        <v>#NUM!</v>
      </c>
      <c r="G70" s="7" t="e">
        <f t="shared" si="4"/>
        <v>#NUM!</v>
      </c>
      <c r="H70" s="7" t="e">
        <f t="shared" si="10"/>
        <v>#NUM!</v>
      </c>
      <c r="I70" s="33" t="e">
        <f t="shared" si="11"/>
        <v>#NUM!</v>
      </c>
    </row>
    <row r="71" spans="2:9" ht="16.5" x14ac:dyDescent="0.25">
      <c r="B71" s="32">
        <v>59</v>
      </c>
      <c r="C71" s="7" t="e">
        <f t="shared" si="12"/>
        <v>#NUM!</v>
      </c>
      <c r="D71" s="7" t="e">
        <f t="shared" si="13"/>
        <v>#NUM!</v>
      </c>
      <c r="E71" s="7" t="e">
        <f t="shared" si="8"/>
        <v>#NUM!</v>
      </c>
      <c r="F71" s="7" t="e">
        <f t="shared" si="9"/>
        <v>#NUM!</v>
      </c>
      <c r="G71" s="7" t="e">
        <f t="shared" si="4"/>
        <v>#NUM!</v>
      </c>
      <c r="H71" s="7" t="e">
        <f t="shared" si="10"/>
        <v>#NUM!</v>
      </c>
      <c r="I71" s="33" t="e">
        <f t="shared" si="11"/>
        <v>#NUM!</v>
      </c>
    </row>
    <row r="72" spans="2:9" ht="16.5" x14ac:dyDescent="0.25">
      <c r="B72" s="32">
        <v>60</v>
      </c>
      <c r="C72" s="7" t="e">
        <f t="shared" si="12"/>
        <v>#NUM!</v>
      </c>
      <c r="D72" s="7" t="e">
        <f t="shared" si="13"/>
        <v>#NUM!</v>
      </c>
      <c r="E72" s="7" t="e">
        <f t="shared" si="8"/>
        <v>#NUM!</v>
      </c>
      <c r="F72" s="7" t="e">
        <f t="shared" si="9"/>
        <v>#NUM!</v>
      </c>
      <c r="G72" s="7" t="e">
        <f t="shared" si="4"/>
        <v>#NUM!</v>
      </c>
      <c r="H72" s="7" t="e">
        <f t="shared" si="10"/>
        <v>#NUM!</v>
      </c>
      <c r="I72" s="33" t="e">
        <f t="shared" si="11"/>
        <v>#NUM!</v>
      </c>
    </row>
    <row r="73" spans="2:9" ht="16.5" x14ac:dyDescent="0.25">
      <c r="B73" s="32">
        <v>61</v>
      </c>
      <c r="C73" s="7" t="e">
        <f t="shared" si="12"/>
        <v>#NUM!</v>
      </c>
      <c r="D73" s="7" t="e">
        <f t="shared" si="13"/>
        <v>#NUM!</v>
      </c>
      <c r="E73" s="7" t="e">
        <f t="shared" si="8"/>
        <v>#NUM!</v>
      </c>
      <c r="F73" s="7" t="e">
        <f t="shared" si="9"/>
        <v>#NUM!</v>
      </c>
      <c r="G73" s="7" t="e">
        <f t="shared" si="4"/>
        <v>#NUM!</v>
      </c>
      <c r="H73" s="7" t="e">
        <f t="shared" si="10"/>
        <v>#NUM!</v>
      </c>
      <c r="I73" s="33" t="e">
        <f t="shared" si="11"/>
        <v>#NUM!</v>
      </c>
    </row>
    <row r="74" spans="2:9" ht="16.5" x14ac:dyDescent="0.25">
      <c r="B74" s="32">
        <v>62</v>
      </c>
      <c r="C74" s="7" t="e">
        <f t="shared" si="12"/>
        <v>#NUM!</v>
      </c>
      <c r="D74" s="7" t="e">
        <f t="shared" si="13"/>
        <v>#NUM!</v>
      </c>
      <c r="E74" s="7" t="e">
        <f t="shared" si="8"/>
        <v>#NUM!</v>
      </c>
      <c r="F74" s="7" t="e">
        <f t="shared" si="9"/>
        <v>#NUM!</v>
      </c>
      <c r="G74" s="7" t="e">
        <f t="shared" si="4"/>
        <v>#NUM!</v>
      </c>
      <c r="H74" s="7" t="e">
        <f t="shared" si="10"/>
        <v>#NUM!</v>
      </c>
      <c r="I74" s="33" t="e">
        <f t="shared" si="11"/>
        <v>#NUM!</v>
      </c>
    </row>
    <row r="75" spans="2:9" ht="16.5" x14ac:dyDescent="0.25">
      <c r="B75" s="32">
        <v>63</v>
      </c>
      <c r="C75" s="7" t="e">
        <f t="shared" si="12"/>
        <v>#NUM!</v>
      </c>
      <c r="D75" s="7" t="e">
        <f t="shared" si="13"/>
        <v>#NUM!</v>
      </c>
      <c r="E75" s="7" t="e">
        <f t="shared" si="8"/>
        <v>#NUM!</v>
      </c>
      <c r="F75" s="7" t="e">
        <f t="shared" si="9"/>
        <v>#NUM!</v>
      </c>
      <c r="G75" s="7" t="e">
        <f t="shared" si="4"/>
        <v>#NUM!</v>
      </c>
      <c r="H75" s="7" t="e">
        <f t="shared" si="10"/>
        <v>#NUM!</v>
      </c>
      <c r="I75" s="33" t="e">
        <f t="shared" si="11"/>
        <v>#NUM!</v>
      </c>
    </row>
    <row r="76" spans="2:9" ht="16.5" x14ac:dyDescent="0.25">
      <c r="B76" s="32">
        <v>64</v>
      </c>
      <c r="C76" s="7" t="e">
        <f t="shared" si="12"/>
        <v>#NUM!</v>
      </c>
      <c r="D76" s="7" t="e">
        <f t="shared" si="13"/>
        <v>#NUM!</v>
      </c>
      <c r="E76" s="7" t="e">
        <f t="shared" si="8"/>
        <v>#NUM!</v>
      </c>
      <c r="F76" s="7" t="e">
        <f t="shared" si="9"/>
        <v>#NUM!</v>
      </c>
      <c r="G76" s="7" t="e">
        <f t="shared" si="4"/>
        <v>#NUM!</v>
      </c>
      <c r="H76" s="7" t="e">
        <f t="shared" si="10"/>
        <v>#NUM!</v>
      </c>
      <c r="I76" s="33" t="e">
        <f t="shared" si="11"/>
        <v>#NUM!</v>
      </c>
    </row>
    <row r="77" spans="2:9" ht="16.5" x14ac:dyDescent="0.25">
      <c r="B77" s="32">
        <v>65</v>
      </c>
      <c r="C77" s="7" t="e">
        <f t="shared" si="12"/>
        <v>#NUM!</v>
      </c>
      <c r="D77" s="7" t="e">
        <f t="shared" si="13"/>
        <v>#NUM!</v>
      </c>
      <c r="E77" s="7" t="e">
        <f t="shared" ref="E77:E84" si="14">-PPMT($C$5/12,B77,$C$6,$C$4,0,0)</f>
        <v>#NUM!</v>
      </c>
      <c r="F77" s="7" t="e">
        <f t="shared" ref="F77:F84" si="15">-IPMT($C$5/12,B77,$C$6,$C$4,0,0)</f>
        <v>#NUM!</v>
      </c>
      <c r="G77" s="7" t="e">
        <f t="shared" si="4"/>
        <v>#NUM!</v>
      </c>
      <c r="H77" s="7" t="e">
        <f t="shared" ref="H77:H84" si="16">C77-E77</f>
        <v>#NUM!</v>
      </c>
      <c r="I77" s="33" t="e">
        <f t="shared" ref="I77:I84" si="17">D77-G77</f>
        <v>#NUM!</v>
      </c>
    </row>
    <row r="78" spans="2:9" ht="16.5" x14ac:dyDescent="0.25">
      <c r="B78" s="32">
        <v>66</v>
      </c>
      <c r="C78" s="7" t="e">
        <f t="shared" si="12"/>
        <v>#NUM!</v>
      </c>
      <c r="D78" s="7" t="e">
        <f t="shared" si="13"/>
        <v>#NUM!</v>
      </c>
      <c r="E78" s="7" t="e">
        <f t="shared" si="14"/>
        <v>#NUM!</v>
      </c>
      <c r="F78" s="7" t="e">
        <f t="shared" si="15"/>
        <v>#NUM!</v>
      </c>
      <c r="G78" s="7" t="e">
        <f t="shared" ref="G78:G84" si="18">SUM(E78:F78)</f>
        <v>#NUM!</v>
      </c>
      <c r="H78" s="7" t="e">
        <f t="shared" si="16"/>
        <v>#NUM!</v>
      </c>
      <c r="I78" s="33" t="e">
        <f t="shared" si="17"/>
        <v>#NUM!</v>
      </c>
    </row>
    <row r="79" spans="2:9" ht="16.5" x14ac:dyDescent="0.25">
      <c r="B79" s="32">
        <v>67</v>
      </c>
      <c r="C79" s="7" t="e">
        <f t="shared" ref="C79:C84" si="19">H78</f>
        <v>#NUM!</v>
      </c>
      <c r="D79" s="7" t="e">
        <f t="shared" si="13"/>
        <v>#NUM!</v>
      </c>
      <c r="E79" s="7" t="e">
        <f t="shared" si="14"/>
        <v>#NUM!</v>
      </c>
      <c r="F79" s="7" t="e">
        <f t="shared" si="15"/>
        <v>#NUM!</v>
      </c>
      <c r="G79" s="7" t="e">
        <f t="shared" si="18"/>
        <v>#NUM!</v>
      </c>
      <c r="H79" s="7" t="e">
        <f t="shared" si="16"/>
        <v>#NUM!</v>
      </c>
      <c r="I79" s="33" t="e">
        <f t="shared" si="17"/>
        <v>#NUM!</v>
      </c>
    </row>
    <row r="80" spans="2:9" ht="16.5" x14ac:dyDescent="0.25">
      <c r="B80" s="32">
        <v>68</v>
      </c>
      <c r="C80" s="7" t="e">
        <f t="shared" si="19"/>
        <v>#NUM!</v>
      </c>
      <c r="D80" s="7" t="e">
        <f t="shared" si="13"/>
        <v>#NUM!</v>
      </c>
      <c r="E80" s="7" t="e">
        <f t="shared" si="14"/>
        <v>#NUM!</v>
      </c>
      <c r="F80" s="7" t="e">
        <f t="shared" si="15"/>
        <v>#NUM!</v>
      </c>
      <c r="G80" s="7" t="e">
        <f t="shared" si="18"/>
        <v>#NUM!</v>
      </c>
      <c r="H80" s="7" t="e">
        <f t="shared" si="16"/>
        <v>#NUM!</v>
      </c>
      <c r="I80" s="33" t="e">
        <f t="shared" si="17"/>
        <v>#NUM!</v>
      </c>
    </row>
    <row r="81" spans="2:9" ht="16.5" x14ac:dyDescent="0.25">
      <c r="B81" s="32">
        <v>69</v>
      </c>
      <c r="C81" s="7" t="e">
        <f t="shared" si="19"/>
        <v>#NUM!</v>
      </c>
      <c r="D81" s="7" t="e">
        <f t="shared" si="13"/>
        <v>#NUM!</v>
      </c>
      <c r="E81" s="7" t="e">
        <f t="shared" si="14"/>
        <v>#NUM!</v>
      </c>
      <c r="F81" s="7" t="e">
        <f t="shared" si="15"/>
        <v>#NUM!</v>
      </c>
      <c r="G81" s="7" t="e">
        <f t="shared" si="18"/>
        <v>#NUM!</v>
      </c>
      <c r="H81" s="7" t="e">
        <f t="shared" si="16"/>
        <v>#NUM!</v>
      </c>
      <c r="I81" s="33" t="e">
        <f t="shared" si="17"/>
        <v>#NUM!</v>
      </c>
    </row>
    <row r="82" spans="2:9" ht="16.5" x14ac:dyDescent="0.25">
      <c r="B82" s="32">
        <v>70</v>
      </c>
      <c r="C82" s="7" t="e">
        <f t="shared" si="19"/>
        <v>#NUM!</v>
      </c>
      <c r="D82" s="7" t="e">
        <f t="shared" si="13"/>
        <v>#NUM!</v>
      </c>
      <c r="E82" s="7" t="e">
        <f t="shared" si="14"/>
        <v>#NUM!</v>
      </c>
      <c r="F82" s="7" t="e">
        <f t="shared" si="15"/>
        <v>#NUM!</v>
      </c>
      <c r="G82" s="7" t="e">
        <f t="shared" si="18"/>
        <v>#NUM!</v>
      </c>
      <c r="H82" s="7" t="e">
        <f t="shared" si="16"/>
        <v>#NUM!</v>
      </c>
      <c r="I82" s="33" t="e">
        <f t="shared" si="17"/>
        <v>#NUM!</v>
      </c>
    </row>
    <row r="83" spans="2:9" ht="16.5" x14ac:dyDescent="0.25">
      <c r="B83" s="32">
        <v>71</v>
      </c>
      <c r="C83" s="7" t="e">
        <f t="shared" si="19"/>
        <v>#NUM!</v>
      </c>
      <c r="D83" s="7" t="e">
        <f t="shared" si="13"/>
        <v>#NUM!</v>
      </c>
      <c r="E83" s="7" t="e">
        <f t="shared" si="14"/>
        <v>#NUM!</v>
      </c>
      <c r="F83" s="7" t="e">
        <f t="shared" si="15"/>
        <v>#NUM!</v>
      </c>
      <c r="G83" s="7" t="e">
        <f t="shared" si="18"/>
        <v>#NUM!</v>
      </c>
      <c r="H83" s="7" t="e">
        <f t="shared" si="16"/>
        <v>#NUM!</v>
      </c>
      <c r="I83" s="33" t="e">
        <f t="shared" si="17"/>
        <v>#NUM!</v>
      </c>
    </row>
    <row r="84" spans="2:9" ht="17.25" thickBot="1" x14ac:dyDescent="0.3">
      <c r="B84" s="34">
        <v>72</v>
      </c>
      <c r="C84" s="35" t="e">
        <f t="shared" si="19"/>
        <v>#NUM!</v>
      </c>
      <c r="D84" s="35" t="e">
        <f t="shared" si="13"/>
        <v>#NUM!</v>
      </c>
      <c r="E84" s="35" t="e">
        <f t="shared" si="14"/>
        <v>#NUM!</v>
      </c>
      <c r="F84" s="35" t="e">
        <f t="shared" si="15"/>
        <v>#NUM!</v>
      </c>
      <c r="G84" s="35" t="e">
        <f t="shared" si="18"/>
        <v>#NUM!</v>
      </c>
      <c r="H84" s="35" t="e">
        <f t="shared" si="16"/>
        <v>#NUM!</v>
      </c>
      <c r="I84" s="36" t="e">
        <f t="shared" si="17"/>
        <v>#NUM!</v>
      </c>
    </row>
  </sheetData>
  <mergeCells count="11">
    <mergeCell ref="C10:I10"/>
    <mergeCell ref="B7:I7"/>
    <mergeCell ref="B11:I11"/>
    <mergeCell ref="K2:L2"/>
    <mergeCell ref="B3:I3"/>
    <mergeCell ref="C4:I4"/>
    <mergeCell ref="C5:I5"/>
    <mergeCell ref="C6:I6"/>
    <mergeCell ref="C8:I8"/>
    <mergeCell ref="C9:I9"/>
    <mergeCell ref="B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"/>
  <sheetViews>
    <sheetView tabSelected="1" zoomScale="57" zoomScaleNormal="57" workbookViewId="0">
      <selection activeCell="D15" sqref="D15"/>
    </sheetView>
  </sheetViews>
  <sheetFormatPr defaultColWidth="12.42578125" defaultRowHeight="26.25" x14ac:dyDescent="0.35"/>
  <cols>
    <col min="1" max="1" width="12.42578125" style="5"/>
    <col min="2" max="2" width="68.140625" style="1" customWidth="1"/>
    <col min="3" max="3" width="49.28515625" style="1" customWidth="1"/>
    <col min="4" max="4" width="36" style="4" customWidth="1"/>
    <col min="5" max="5" width="31.5703125" style="4" customWidth="1"/>
    <col min="6" max="6" width="32.140625" style="1" bestFit="1" customWidth="1"/>
    <col min="7" max="7" width="32.85546875" style="1" bestFit="1" customWidth="1"/>
    <col min="8" max="8" width="34.5703125" style="1" bestFit="1" customWidth="1"/>
    <col min="9" max="10" width="29.85546875" style="1" bestFit="1" customWidth="1"/>
    <col min="11" max="16384" width="12.42578125" style="1"/>
  </cols>
  <sheetData>
    <row r="1" spans="1:10" s="5" customFormat="1" ht="27" thickBot="1" x14ac:dyDescent="0.4">
      <c r="A1" s="63"/>
      <c r="B1" s="60"/>
      <c r="C1" s="60"/>
      <c r="D1" s="61"/>
      <c r="E1" s="61"/>
      <c r="F1" s="60"/>
      <c r="G1" s="60"/>
      <c r="H1" s="60"/>
      <c r="I1" s="60"/>
      <c r="J1" s="62"/>
    </row>
    <row r="2" spans="1:10" s="2" customFormat="1" ht="27" thickBot="1" x14ac:dyDescent="0.4">
      <c r="A2" s="63"/>
      <c r="B2" s="102" t="s">
        <v>23</v>
      </c>
      <c r="C2" s="103"/>
      <c r="D2" s="103"/>
      <c r="E2" s="103"/>
      <c r="F2" s="103"/>
      <c r="G2" s="103"/>
      <c r="H2" s="103"/>
      <c r="I2" s="103"/>
      <c r="J2" s="104"/>
    </row>
    <row r="3" spans="1:10" ht="27" thickBot="1" x14ac:dyDescent="0.4">
      <c r="A3" s="63"/>
      <c r="B3" s="58" t="s">
        <v>17</v>
      </c>
      <c r="C3" s="100" t="s">
        <v>61</v>
      </c>
      <c r="D3" s="100"/>
      <c r="E3" s="100"/>
      <c r="F3" s="100"/>
      <c r="G3" s="100"/>
      <c r="H3" s="100"/>
      <c r="I3" s="100"/>
      <c r="J3" s="101"/>
    </row>
    <row r="4" spans="1:10" x14ac:dyDescent="0.35">
      <c r="A4" s="63"/>
      <c r="B4" s="54" t="s">
        <v>0</v>
      </c>
      <c r="C4" s="43" t="s">
        <v>11</v>
      </c>
      <c r="D4" s="11" t="s">
        <v>1</v>
      </c>
      <c r="E4" s="11" t="s">
        <v>2</v>
      </c>
      <c r="F4" s="42" t="s">
        <v>3</v>
      </c>
      <c r="G4" s="42" t="s">
        <v>4</v>
      </c>
      <c r="H4" s="42" t="s">
        <v>5</v>
      </c>
      <c r="I4" s="42" t="s">
        <v>6</v>
      </c>
      <c r="J4" s="51" t="s">
        <v>21</v>
      </c>
    </row>
    <row r="5" spans="1:10" x14ac:dyDescent="0.35">
      <c r="A5" s="63"/>
      <c r="B5" s="55" t="s">
        <v>7</v>
      </c>
      <c r="C5" s="44">
        <v>0</v>
      </c>
      <c r="D5" s="8">
        <v>866596.88581314881</v>
      </c>
      <c r="E5" s="8">
        <f t="shared" ref="E5:J5" si="0">(100%+$C5)*D5</f>
        <v>866596.88581314881</v>
      </c>
      <c r="F5" s="9">
        <f t="shared" si="0"/>
        <v>866596.88581314881</v>
      </c>
      <c r="G5" s="9">
        <f t="shared" si="0"/>
        <v>866596.88581314881</v>
      </c>
      <c r="H5" s="9">
        <f t="shared" si="0"/>
        <v>866596.88581314881</v>
      </c>
      <c r="I5" s="9">
        <f t="shared" si="0"/>
        <v>866596.88581314881</v>
      </c>
      <c r="J5" s="14">
        <f t="shared" si="0"/>
        <v>866596.88581314881</v>
      </c>
    </row>
    <row r="6" spans="1:10" x14ac:dyDescent="0.35">
      <c r="A6" s="63"/>
      <c r="B6" s="55" t="s">
        <v>8</v>
      </c>
      <c r="C6" s="45">
        <v>0</v>
      </c>
      <c r="D6" s="9">
        <v>289</v>
      </c>
      <c r="E6" s="9">
        <f t="shared" ref="E6:J6" si="1">D6*(1+$C$6)</f>
        <v>289</v>
      </c>
      <c r="F6" s="9">
        <f t="shared" si="1"/>
        <v>289</v>
      </c>
      <c r="G6" s="9">
        <f t="shared" si="1"/>
        <v>289</v>
      </c>
      <c r="H6" s="9">
        <f t="shared" si="1"/>
        <v>289</v>
      </c>
      <c r="I6" s="9">
        <f t="shared" si="1"/>
        <v>289</v>
      </c>
      <c r="J6" s="14">
        <f t="shared" si="1"/>
        <v>289</v>
      </c>
    </row>
    <row r="7" spans="1:10" x14ac:dyDescent="0.35">
      <c r="A7" s="63"/>
      <c r="B7" s="55" t="s">
        <v>14</v>
      </c>
      <c r="C7" s="45">
        <v>0</v>
      </c>
      <c r="D7" s="10">
        <v>0.99399999999999999</v>
      </c>
      <c r="E7" s="10">
        <f>(100%+$C7)*D7</f>
        <v>0.99399999999999999</v>
      </c>
      <c r="F7" s="10">
        <f t="shared" ref="F7:J7" si="2">(100%+$C7)*E7</f>
        <v>0.99399999999999999</v>
      </c>
      <c r="G7" s="10">
        <f t="shared" si="2"/>
        <v>0.99399999999999999</v>
      </c>
      <c r="H7" s="10">
        <f t="shared" si="2"/>
        <v>0.99399999999999999</v>
      </c>
      <c r="I7" s="10">
        <f t="shared" si="2"/>
        <v>0.99399999999999999</v>
      </c>
      <c r="J7" s="15">
        <f t="shared" si="2"/>
        <v>0.99399999999999999</v>
      </c>
    </row>
    <row r="8" spans="1:10" x14ac:dyDescent="0.35">
      <c r="A8" s="63"/>
      <c r="B8" s="55" t="s">
        <v>9</v>
      </c>
      <c r="C8" s="42"/>
      <c r="D8" s="8">
        <f>D5*D6*D7</f>
        <v>248943821</v>
      </c>
      <c r="E8" s="8">
        <f>E5*E6*E7</f>
        <v>248943821</v>
      </c>
      <c r="F8" s="8">
        <f t="shared" ref="F8:I8" si="3">F5*F6*F7</f>
        <v>248943821</v>
      </c>
      <c r="G8" s="8">
        <f t="shared" si="3"/>
        <v>248943821</v>
      </c>
      <c r="H8" s="8">
        <f t="shared" si="3"/>
        <v>248943821</v>
      </c>
      <c r="I8" s="8">
        <f t="shared" si="3"/>
        <v>248943821</v>
      </c>
      <c r="J8" s="16">
        <f t="shared" ref="J8" si="4">J5*J6*J7</f>
        <v>248943821</v>
      </c>
    </row>
    <row r="9" spans="1:10" x14ac:dyDescent="0.35">
      <c r="A9" s="63"/>
      <c r="B9" s="55" t="s">
        <v>19</v>
      </c>
      <c r="C9" s="44">
        <v>0</v>
      </c>
      <c r="D9" s="8">
        <v>99940000</v>
      </c>
      <c r="E9" s="8">
        <f t="shared" ref="E9:J9" si="5">(100%+$C9)*D9</f>
        <v>99940000</v>
      </c>
      <c r="F9" s="8">
        <f t="shared" si="5"/>
        <v>99940000</v>
      </c>
      <c r="G9" s="8">
        <f t="shared" si="5"/>
        <v>99940000</v>
      </c>
      <c r="H9" s="8">
        <f t="shared" si="5"/>
        <v>99940000</v>
      </c>
      <c r="I9" s="8">
        <f t="shared" si="5"/>
        <v>99940000</v>
      </c>
      <c r="J9" s="16">
        <f t="shared" si="5"/>
        <v>99940000</v>
      </c>
    </row>
    <row r="10" spans="1:10" x14ac:dyDescent="0.35">
      <c r="A10" s="63"/>
      <c r="B10" s="55" t="s">
        <v>10</v>
      </c>
      <c r="C10" s="42"/>
      <c r="D10" s="8">
        <f>D8-D9</f>
        <v>149003821</v>
      </c>
      <c r="E10" s="8">
        <f t="shared" ref="E10:I10" si="6">E8-E9</f>
        <v>149003821</v>
      </c>
      <c r="F10" s="8">
        <f t="shared" si="6"/>
        <v>149003821</v>
      </c>
      <c r="G10" s="8">
        <f t="shared" si="6"/>
        <v>149003821</v>
      </c>
      <c r="H10" s="8">
        <f t="shared" si="6"/>
        <v>149003821</v>
      </c>
      <c r="I10" s="8">
        <f t="shared" si="6"/>
        <v>149003821</v>
      </c>
      <c r="J10" s="16">
        <f t="shared" ref="J10" si="7">J8-J9</f>
        <v>149003821</v>
      </c>
    </row>
    <row r="11" spans="1:10" x14ac:dyDescent="0.35">
      <c r="A11" s="63"/>
      <c r="B11" s="55" t="s">
        <v>18</v>
      </c>
      <c r="C11" s="44"/>
      <c r="D11" s="8">
        <f>0.3*D10</f>
        <v>44701146.299999997</v>
      </c>
      <c r="E11" s="8">
        <f>0.3*E10</f>
        <v>44701146.299999997</v>
      </c>
      <c r="F11" s="8">
        <f t="shared" ref="F11:I11" si="8">0.3*F10</f>
        <v>44701146.299999997</v>
      </c>
      <c r="G11" s="8">
        <f t="shared" si="8"/>
        <v>44701146.299999997</v>
      </c>
      <c r="H11" s="8">
        <f t="shared" si="8"/>
        <v>44701146.299999997</v>
      </c>
      <c r="I11" s="8">
        <f t="shared" si="8"/>
        <v>44701146.299999997</v>
      </c>
      <c r="J11" s="16">
        <f t="shared" ref="J11" si="9">0.3*J10</f>
        <v>44701146.299999997</v>
      </c>
    </row>
    <row r="12" spans="1:10" x14ac:dyDescent="0.35">
      <c r="A12" s="63"/>
      <c r="B12" s="59" t="s">
        <v>12</v>
      </c>
      <c r="C12" s="48"/>
      <c r="D12" s="19">
        <f>D10-D11</f>
        <v>104302674.7</v>
      </c>
      <c r="E12" s="19">
        <f t="shared" ref="E12:I12" si="10">E10-E11</f>
        <v>104302674.7</v>
      </c>
      <c r="F12" s="19">
        <f t="shared" si="10"/>
        <v>104302674.7</v>
      </c>
      <c r="G12" s="19">
        <f t="shared" si="10"/>
        <v>104302674.7</v>
      </c>
      <c r="H12" s="19">
        <f t="shared" si="10"/>
        <v>104302674.7</v>
      </c>
      <c r="I12" s="19">
        <f t="shared" si="10"/>
        <v>104302674.7</v>
      </c>
      <c r="J12" s="20">
        <f t="shared" ref="J12" si="11">J10-J11</f>
        <v>104302674.7</v>
      </c>
    </row>
    <row r="13" spans="1:10" x14ac:dyDescent="0.35">
      <c r="A13" s="63"/>
      <c r="B13" s="55" t="s">
        <v>62</v>
      </c>
      <c r="C13" s="46"/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  <c r="J13" s="14">
        <v>0</v>
      </c>
    </row>
    <row r="14" spans="1:10" x14ac:dyDescent="0.35">
      <c r="A14" s="63"/>
      <c r="B14" s="55" t="s">
        <v>63</v>
      </c>
      <c r="C14" s="46"/>
      <c r="D14" s="8">
        <f>'Loan Calculator'!$C$7*12</f>
        <v>28735500</v>
      </c>
      <c r="E14" s="8">
        <f>'Loan Calculator'!$C$7*12</f>
        <v>28735500</v>
      </c>
      <c r="F14" s="8">
        <f>'Loan Calculator'!$C$7*12</f>
        <v>28735500</v>
      </c>
      <c r="G14" s="8">
        <f>'Loan Calculator'!$C$7*12</f>
        <v>28735500</v>
      </c>
      <c r="H14" s="8">
        <f>'Loan Calculator'!$C$7*12</f>
        <v>28735500</v>
      </c>
      <c r="I14" s="8">
        <f>'Loan Calculator'!$C$7*12</f>
        <v>28735500</v>
      </c>
      <c r="J14" s="16">
        <f>'Loan Calculator'!$C$7*12</f>
        <v>28735500</v>
      </c>
    </row>
    <row r="15" spans="1:10" s="3" customFormat="1" ht="24.75" customHeight="1" x14ac:dyDescent="0.35">
      <c r="A15" s="64"/>
      <c r="B15" s="55" t="s">
        <v>13</v>
      </c>
      <c r="C15" s="41"/>
      <c r="D15" s="12">
        <f>D13+D14</f>
        <v>28735500</v>
      </c>
      <c r="E15" s="12">
        <f t="shared" ref="E15:J15" si="12">E13+E14</f>
        <v>28735500</v>
      </c>
      <c r="F15" s="12">
        <f t="shared" si="12"/>
        <v>28735500</v>
      </c>
      <c r="G15" s="12">
        <f t="shared" si="12"/>
        <v>28735500</v>
      </c>
      <c r="H15" s="12">
        <f t="shared" si="12"/>
        <v>28735500</v>
      </c>
      <c r="I15" s="12">
        <f t="shared" si="12"/>
        <v>28735500</v>
      </c>
      <c r="J15" s="17">
        <f t="shared" si="12"/>
        <v>28735500</v>
      </c>
    </row>
    <row r="16" spans="1:10" s="2" customFormat="1" ht="27" thickBot="1" x14ac:dyDescent="0.4">
      <c r="A16" s="63"/>
      <c r="B16" s="59" t="s">
        <v>20</v>
      </c>
      <c r="C16" s="47"/>
      <c r="D16" s="21">
        <f>D12-D15</f>
        <v>75567174.700000003</v>
      </c>
      <c r="E16" s="21">
        <f t="shared" ref="E16:I16" si="13">E12-E15</f>
        <v>75567174.700000003</v>
      </c>
      <c r="F16" s="21">
        <f t="shared" si="13"/>
        <v>75567174.700000003</v>
      </c>
      <c r="G16" s="21">
        <f t="shared" si="13"/>
        <v>75567174.700000003</v>
      </c>
      <c r="H16" s="21">
        <f t="shared" si="13"/>
        <v>75567174.700000003</v>
      </c>
      <c r="I16" s="21">
        <f t="shared" si="13"/>
        <v>75567174.700000003</v>
      </c>
      <c r="J16" s="22">
        <f t="shared" ref="J16" si="14">J12-J15</f>
        <v>75567174.700000003</v>
      </c>
    </row>
    <row r="17" spans="1:10" s="2" customFormat="1" ht="27" thickTop="1" x14ac:dyDescent="0.35">
      <c r="A17" s="63"/>
      <c r="B17" s="55" t="s">
        <v>52</v>
      </c>
      <c r="C17" s="42"/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6">
        <v>0</v>
      </c>
    </row>
    <row r="18" spans="1:10" s="2" customFormat="1" x14ac:dyDescent="0.35">
      <c r="A18" s="63"/>
      <c r="B18" s="55" t="s">
        <v>51</v>
      </c>
      <c r="C18" s="42"/>
      <c r="D18" s="8">
        <v>0</v>
      </c>
      <c r="E18" s="8">
        <f>'Loan Calculator and Amort '!$L$4</f>
        <v>6288913.745963064</v>
      </c>
      <c r="F18" s="8">
        <f>'Loan Calculator and Amort '!$L$5</f>
        <v>4666248.6737351855</v>
      </c>
      <c r="G18" s="8">
        <f>'Loan Calculator and Amort '!$L$6</f>
        <v>2926281.0122333653</v>
      </c>
      <c r="H18" s="8">
        <f>'Loan Calculator and Amort '!$L$7</f>
        <v>1060530.9477943429</v>
      </c>
      <c r="I18" s="8" t="e">
        <f>'Loan Calculator and Amort '!$L$8</f>
        <v>#NUM!</v>
      </c>
      <c r="J18" s="16" t="e">
        <f>'Loan Calculator and Amort '!$L$9</f>
        <v>#NUM!</v>
      </c>
    </row>
    <row r="19" spans="1:10" s="2" customFormat="1" x14ac:dyDescent="0.35">
      <c r="A19" s="63"/>
      <c r="B19" s="56" t="s">
        <v>50</v>
      </c>
      <c r="C19" s="49"/>
      <c r="D19" s="50" t="e">
        <f t="shared" ref="D19:J19" si="15">D10/D18</f>
        <v>#DIV/0!</v>
      </c>
      <c r="E19" s="50">
        <f>E10/E18</f>
        <v>23.693093436946484</v>
      </c>
      <c r="F19" s="50">
        <f t="shared" si="15"/>
        <v>31.932250383202813</v>
      </c>
      <c r="G19" s="50">
        <f t="shared" si="15"/>
        <v>50.919177063681545</v>
      </c>
      <c r="H19" s="50">
        <f t="shared" si="15"/>
        <v>140.49926719243149</v>
      </c>
      <c r="I19" s="50" t="e">
        <f t="shared" si="15"/>
        <v>#NUM!</v>
      </c>
      <c r="J19" s="52" t="e">
        <f t="shared" si="15"/>
        <v>#NUM!</v>
      </c>
    </row>
    <row r="20" spans="1:10" s="2" customFormat="1" x14ac:dyDescent="0.35">
      <c r="A20" s="63"/>
      <c r="B20" s="56" t="s">
        <v>22</v>
      </c>
      <c r="C20" s="49"/>
      <c r="D20" s="71">
        <f>(D12/D15)</f>
        <v>3.6297497764089717</v>
      </c>
      <c r="E20" s="71">
        <f t="shared" ref="E20:J20" si="16">(E12/E15)</f>
        <v>3.6297497764089717</v>
      </c>
      <c r="F20" s="71">
        <f t="shared" si="16"/>
        <v>3.6297497764089717</v>
      </c>
      <c r="G20" s="71">
        <f t="shared" si="16"/>
        <v>3.6297497764089717</v>
      </c>
      <c r="H20" s="71">
        <f t="shared" si="16"/>
        <v>3.6297497764089717</v>
      </c>
      <c r="I20" s="71">
        <f t="shared" si="16"/>
        <v>3.6297497764089717</v>
      </c>
      <c r="J20" s="72">
        <f t="shared" si="16"/>
        <v>3.6297497764089717</v>
      </c>
    </row>
    <row r="21" spans="1:10" x14ac:dyDescent="0.35">
      <c r="A21" s="18"/>
      <c r="B21" s="56" t="s">
        <v>15</v>
      </c>
      <c r="C21" s="49"/>
      <c r="D21" s="73">
        <f>D15/D12</f>
        <v>0.27550108453738437</v>
      </c>
      <c r="E21" s="73">
        <f t="shared" ref="E21:I21" si="17">E15/E12</f>
        <v>0.27550108453738437</v>
      </c>
      <c r="F21" s="73">
        <f>F15/F12</f>
        <v>0.27550108453738437</v>
      </c>
      <c r="G21" s="73">
        <f>G15/G12</f>
        <v>0.27550108453738437</v>
      </c>
      <c r="H21" s="73">
        <f t="shared" si="17"/>
        <v>0.27550108453738437</v>
      </c>
      <c r="I21" s="73">
        <f t="shared" si="17"/>
        <v>0.27550108453738437</v>
      </c>
      <c r="J21" s="74">
        <f t="shared" ref="J21" si="18">J15/J12</f>
        <v>0.27550108453738437</v>
      </c>
    </row>
    <row r="22" spans="1:10" s="5" customFormat="1" x14ac:dyDescent="0.35">
      <c r="A22" s="18"/>
      <c r="B22" s="56" t="s">
        <v>54</v>
      </c>
      <c r="C22" s="49"/>
      <c r="D22" s="73">
        <f>D10/D8</f>
        <v>0.59854396225403805</v>
      </c>
      <c r="E22" s="73">
        <f t="shared" ref="E22:J22" si="19">E10/E8</f>
        <v>0.59854396225403805</v>
      </c>
      <c r="F22" s="73">
        <f>F10/F8</f>
        <v>0.59854396225403805</v>
      </c>
      <c r="G22" s="73">
        <f t="shared" si="19"/>
        <v>0.59854396225403805</v>
      </c>
      <c r="H22" s="73">
        <f t="shared" si="19"/>
        <v>0.59854396225403805</v>
      </c>
      <c r="I22" s="73">
        <f t="shared" si="19"/>
        <v>0.59854396225403805</v>
      </c>
      <c r="J22" s="74">
        <f t="shared" si="19"/>
        <v>0.59854396225403805</v>
      </c>
    </row>
    <row r="23" spans="1:10" ht="27" thickBot="1" x14ac:dyDescent="0.4">
      <c r="A23" s="63"/>
      <c r="B23" s="57" t="s">
        <v>16</v>
      </c>
      <c r="C23" s="53"/>
      <c r="D23" s="75">
        <f t="shared" ref="D23:J23" si="20">D12/D8</f>
        <v>0.41898077357782665</v>
      </c>
      <c r="E23" s="75">
        <f t="shared" si="20"/>
        <v>0.41898077357782665</v>
      </c>
      <c r="F23" s="75">
        <f t="shared" si="20"/>
        <v>0.41898077357782665</v>
      </c>
      <c r="G23" s="75">
        <f t="shared" si="20"/>
        <v>0.41898077357782665</v>
      </c>
      <c r="H23" s="75">
        <f t="shared" si="20"/>
        <v>0.41898077357782665</v>
      </c>
      <c r="I23" s="75">
        <f t="shared" si="20"/>
        <v>0.41898077357782665</v>
      </c>
      <c r="J23" s="76">
        <f t="shared" si="20"/>
        <v>0.41898077357782665</v>
      </c>
    </row>
    <row r="24" spans="1:10" s="5" customFormat="1" ht="27" thickBot="1" x14ac:dyDescent="0.4">
      <c r="A24" s="18"/>
      <c r="B24" s="41"/>
      <c r="C24" s="42"/>
      <c r="D24" s="13"/>
      <c r="E24" s="13"/>
      <c r="F24" s="13"/>
      <c r="G24" s="13"/>
      <c r="H24" s="13"/>
      <c r="I24" s="13"/>
      <c r="J24" s="13"/>
    </row>
    <row r="25" spans="1:10" x14ac:dyDescent="0.35">
      <c r="B25" s="65" t="s">
        <v>53</v>
      </c>
      <c r="C25" s="66" t="s">
        <v>57</v>
      </c>
    </row>
    <row r="26" spans="1:10" s="5" customFormat="1" x14ac:dyDescent="0.35">
      <c r="A26" s="49"/>
      <c r="B26" s="67" t="s">
        <v>50</v>
      </c>
      <c r="C26" s="77" t="s">
        <v>58</v>
      </c>
      <c r="D26" s="4"/>
      <c r="E26" s="4"/>
    </row>
    <row r="27" spans="1:10" s="5" customFormat="1" x14ac:dyDescent="0.35">
      <c r="A27" s="49"/>
      <c r="B27" s="67" t="s">
        <v>22</v>
      </c>
      <c r="C27" s="77" t="s">
        <v>60</v>
      </c>
      <c r="D27" s="4"/>
      <c r="E27" s="4"/>
    </row>
    <row r="28" spans="1:10" s="5" customFormat="1" x14ac:dyDescent="0.35">
      <c r="B28" s="67" t="s">
        <v>15</v>
      </c>
      <c r="C28" s="77" t="s">
        <v>59</v>
      </c>
      <c r="D28" s="4"/>
      <c r="E28" s="4"/>
    </row>
    <row r="29" spans="1:10" s="5" customFormat="1" x14ac:dyDescent="0.35">
      <c r="B29" s="68" t="s">
        <v>54</v>
      </c>
      <c r="C29" s="77" t="s">
        <v>56</v>
      </c>
      <c r="D29" s="4"/>
      <c r="E29" s="4"/>
    </row>
    <row r="30" spans="1:10" s="5" customFormat="1" ht="102" x14ac:dyDescent="0.35">
      <c r="B30" s="68" t="s">
        <v>16</v>
      </c>
      <c r="C30" s="78" t="s">
        <v>55</v>
      </c>
      <c r="D30" s="4"/>
      <c r="E30" s="4"/>
    </row>
    <row r="31" spans="1:10" s="5" customFormat="1" ht="27" thickBot="1" x14ac:dyDescent="0.4">
      <c r="B31" s="69"/>
      <c r="C31" s="70"/>
      <c r="D31" s="4"/>
      <c r="E31" s="4"/>
    </row>
    <row r="32" spans="1:10" x14ac:dyDescent="0.35">
      <c r="C32" s="5"/>
    </row>
    <row r="33" spans="3:3" x14ac:dyDescent="0.35">
      <c r="C33" s="5"/>
    </row>
    <row r="34" spans="3:3" x14ac:dyDescent="0.35">
      <c r="C34" s="5"/>
    </row>
  </sheetData>
  <mergeCells count="2">
    <mergeCell ref="C3:J3"/>
    <mergeCell ref="B2:J2"/>
  </mergeCells>
  <conditionalFormatting sqref="D20:J20">
    <cfRule type="cellIs" dxfId="5" priority="6" operator="lessThan">
      <formula>1</formula>
    </cfRule>
    <cfRule type="cellIs" dxfId="4" priority="5" operator="greaterThan">
      <formula>1</formula>
    </cfRule>
  </conditionalFormatting>
  <conditionalFormatting sqref="D21:J21">
    <cfRule type="cellIs" dxfId="3" priority="4" operator="lessThanOrEqual">
      <formula>0.6</formula>
    </cfRule>
    <cfRule type="cellIs" dxfId="2" priority="3" operator="greaterThan">
      <formula>0.6</formula>
    </cfRule>
  </conditionalFormatting>
  <conditionalFormatting sqref="D19:J19">
    <cfRule type="cellIs" dxfId="1" priority="2" operator="greaterThanOrEqual">
      <formula>1</formula>
    </cfRule>
    <cfRule type="cellIs" dxfId="0" priority="1" operator="lessThan">
      <formula>1</formula>
    </cfRule>
  </conditionalFormatting>
  <pageMargins left="0.7" right="0.7" top="0.75" bottom="0.75" header="0.3" footer="0.3"/>
  <pageSetup paperSize="9" scale="31" orientation="portrait" r:id="rId1"/>
  <ignoredErrors>
    <ignoredError sqref="D11:J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 Calculator</vt:lpstr>
      <vt:lpstr>Loan Calculator and Amort </vt:lpstr>
      <vt:lpstr>Capacity </vt:lpstr>
      <vt:lpstr>'Capacity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Gikiri</cp:lastModifiedBy>
  <dcterms:created xsi:type="dcterms:W3CDTF">2022-04-28T03:04:14Z</dcterms:created>
  <dcterms:modified xsi:type="dcterms:W3CDTF">2023-11-08T10:28:25Z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ee56cd84243142c6ae4b8618c7ccaa34</vt:lpwstr>
  </property>
</Properties>
</file>