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g\Desktop\Investment Models\FUTURE CASHFLOW MODEL\"/>
    </mc:Choice>
  </mc:AlternateContent>
  <xr:revisionPtr revIDLastSave="0" documentId="13_ncr:1_{65003906-CB93-4C81-ABA9-C4E68791A94D}" xr6:coauthVersionLast="36" xr6:coauthVersionMax="41" xr10:uidLastSave="{00000000-0000-0000-0000-000000000000}"/>
  <bookViews>
    <workbookView xWindow="-120" yWindow="-120" windowWidth="15465" windowHeight="4065" activeTab="3" xr2:uid="{CAD48961-AB6A-4485-9072-72758F24B261}"/>
  </bookViews>
  <sheets>
    <sheet name="Cover Page" sheetId="5" r:id="rId1"/>
    <sheet name="Prev Yr Annual Statements" sheetId="8" r:id="rId2"/>
    <sheet name="Curr Yr Annual Statements" sheetId="1" r:id="rId3"/>
    <sheet name="Future Projections" sheetId="3" r:id="rId4"/>
    <sheet name="Class Gap Analysis" sheetId="9" r:id="rId5"/>
    <sheet name="Dashboard " sheetId="10" r:id="rId6"/>
    <sheet name="Macro Econ" sheetId="6" r:id="rId7"/>
    <sheet name="Ratios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49" i="3" l="1"/>
  <c r="C52" i="3"/>
  <c r="D38" i="1"/>
  <c r="C20" i="1"/>
  <c r="D41" i="1"/>
  <c r="D43" i="1"/>
  <c r="D44" i="1"/>
  <c r="D45" i="1"/>
  <c r="D46" i="1"/>
  <c r="D42" i="1"/>
  <c r="D39" i="1"/>
  <c r="D40" i="1"/>
  <c r="D37" i="1"/>
  <c r="D35" i="1"/>
  <c r="D34" i="1"/>
  <c r="D30" i="1"/>
  <c r="D31" i="1"/>
  <c r="D32" i="1"/>
  <c r="D29" i="1"/>
  <c r="J12" i="1"/>
  <c r="J13" i="1"/>
  <c r="J14" i="1"/>
  <c r="J15" i="1"/>
  <c r="J16" i="1"/>
  <c r="J17" i="1"/>
  <c r="J18" i="1"/>
  <c r="J19" i="1"/>
  <c r="D41" i="8"/>
  <c r="D40" i="8"/>
  <c r="D42" i="8"/>
  <c r="D43" i="8"/>
  <c r="D44" i="8"/>
  <c r="D45" i="8"/>
  <c r="D46" i="8"/>
  <c r="D38" i="8"/>
  <c r="D39" i="8"/>
  <c r="D37" i="8"/>
  <c r="D34" i="8"/>
  <c r="D35" i="8"/>
  <c r="D31" i="8"/>
  <c r="D30" i="8"/>
  <c r="D29" i="8"/>
  <c r="J13" i="8"/>
  <c r="J14" i="8"/>
  <c r="J15" i="8"/>
  <c r="J16" i="8"/>
  <c r="J17" i="8"/>
  <c r="J18" i="8"/>
  <c r="J19" i="8"/>
  <c r="J12" i="8"/>
  <c r="C20" i="8"/>
  <c r="D9" i="5"/>
  <c r="C4" i="7" l="1"/>
  <c r="B4" i="7"/>
  <c r="C2" i="10" l="1"/>
  <c r="C1" i="10"/>
  <c r="L45" i="10"/>
  <c r="N44" i="10"/>
  <c r="O44" i="10"/>
  <c r="P44" i="10"/>
  <c r="Q44" i="10"/>
  <c r="R44" i="10"/>
  <c r="M44" i="10"/>
  <c r="A45" i="10"/>
  <c r="G44" i="10"/>
  <c r="C44" i="10"/>
  <c r="D44" i="10"/>
  <c r="E44" i="10"/>
  <c r="F44" i="10"/>
  <c r="B44" i="10"/>
  <c r="L26" i="10"/>
  <c r="N25" i="10"/>
  <c r="O25" i="10"/>
  <c r="P25" i="10"/>
  <c r="Q25" i="10"/>
  <c r="R25" i="10"/>
  <c r="M25" i="10"/>
  <c r="L8" i="10"/>
  <c r="R7" i="10"/>
  <c r="N7" i="10"/>
  <c r="O7" i="10"/>
  <c r="P7" i="10"/>
  <c r="Q7" i="10"/>
  <c r="M7" i="10"/>
  <c r="C25" i="10"/>
  <c r="D25" i="10"/>
  <c r="E25" i="10"/>
  <c r="F25" i="10"/>
  <c r="B25" i="10"/>
  <c r="A26" i="10"/>
  <c r="A9" i="10"/>
  <c r="C8" i="10"/>
  <c r="D8" i="10"/>
  <c r="E8" i="10"/>
  <c r="F8" i="10"/>
  <c r="G8" i="10"/>
  <c r="B8" i="10"/>
  <c r="C3" i="9"/>
  <c r="C2" i="3"/>
  <c r="D52" i="3"/>
  <c r="E52" i="3"/>
  <c r="F52" i="3"/>
  <c r="G52" i="3"/>
  <c r="H52" i="3"/>
  <c r="C2" i="8" l="1"/>
  <c r="C1" i="8"/>
  <c r="C2" i="1"/>
  <c r="C1" i="1"/>
  <c r="C2" i="9"/>
  <c r="D25" i="9"/>
  <c r="D13" i="9"/>
  <c r="D14" i="9"/>
  <c r="E15" i="9" s="1"/>
  <c r="D15" i="9"/>
  <c r="E16" i="9" s="1"/>
  <c r="F17" i="9" s="1"/>
  <c r="G18" i="9" s="1"/>
  <c r="H19" i="9" s="1"/>
  <c r="I20" i="9" s="1"/>
  <c r="D16" i="9"/>
  <c r="E17" i="9" s="1"/>
  <c r="F18" i="9" s="1"/>
  <c r="G19" i="9" s="1"/>
  <c r="H20" i="9" s="1"/>
  <c r="I21" i="9" s="1"/>
  <c r="D17" i="9"/>
  <c r="E18" i="9" s="1"/>
  <c r="F19" i="9" s="1"/>
  <c r="G20" i="9" s="1"/>
  <c r="H21" i="9" s="1"/>
  <c r="I22" i="9" s="1"/>
  <c r="D18" i="9"/>
  <c r="E19" i="9" s="1"/>
  <c r="F20" i="9" s="1"/>
  <c r="G21" i="9" s="1"/>
  <c r="H22" i="9" s="1"/>
  <c r="I23" i="9" s="1"/>
  <c r="D19" i="9"/>
  <c r="E20" i="9" s="1"/>
  <c r="F21" i="9" s="1"/>
  <c r="G22" i="9" s="1"/>
  <c r="H23" i="9" s="1"/>
  <c r="D20" i="9"/>
  <c r="E21" i="9" s="1"/>
  <c r="F22" i="9" s="1"/>
  <c r="G23" i="9" s="1"/>
  <c r="D21" i="9"/>
  <c r="E22" i="9" s="1"/>
  <c r="F23" i="9" s="1"/>
  <c r="D22" i="9"/>
  <c r="E23" i="9" s="1"/>
  <c r="D23" i="9"/>
  <c r="D12" i="9"/>
  <c r="E13" i="9" s="1"/>
  <c r="F14" i="9" s="1"/>
  <c r="G15" i="9" s="1"/>
  <c r="H16" i="9" s="1"/>
  <c r="I17" i="9" s="1"/>
  <c r="F16" i="9" l="1"/>
  <c r="G17" i="9" s="1"/>
  <c r="H18" i="9" s="1"/>
  <c r="I19" i="9" s="1"/>
  <c r="E14" i="9"/>
  <c r="F15" i="9" s="1"/>
  <c r="G16" i="9" s="1"/>
  <c r="H17" i="9" s="1"/>
  <c r="I18" i="9" s="1"/>
  <c r="C47" i="8"/>
  <c r="D36" i="8"/>
  <c r="D32" i="8"/>
  <c r="F20" i="8"/>
  <c r="E20" i="8"/>
  <c r="D20" i="8"/>
  <c r="B3" i="7"/>
  <c r="B18" i="7" s="1"/>
  <c r="B20" i="7" s="1"/>
  <c r="AD18" i="8"/>
  <c r="Z18" i="8"/>
  <c r="V18" i="8"/>
  <c r="R18" i="8"/>
  <c r="N18" i="8"/>
  <c r="AD17" i="8"/>
  <c r="Z17" i="8"/>
  <c r="V17" i="8"/>
  <c r="R17" i="8"/>
  <c r="N17" i="8"/>
  <c r="AD16" i="8"/>
  <c r="Z16" i="8"/>
  <c r="V16" i="8"/>
  <c r="R16" i="8"/>
  <c r="N16" i="8"/>
  <c r="AD15" i="8"/>
  <c r="Z15" i="8"/>
  <c r="V15" i="8"/>
  <c r="R15" i="8"/>
  <c r="N15" i="8"/>
  <c r="AD14" i="8"/>
  <c r="Z14" i="8"/>
  <c r="V14" i="8"/>
  <c r="R14" i="8"/>
  <c r="N14" i="8"/>
  <c r="AD13" i="8"/>
  <c r="Z13" i="8"/>
  <c r="V13" i="8"/>
  <c r="R13" i="8"/>
  <c r="N13" i="8"/>
  <c r="AD12" i="8"/>
  <c r="Z12" i="8"/>
  <c r="V12" i="8"/>
  <c r="R12" i="8"/>
  <c r="N12" i="8"/>
  <c r="AD11" i="8"/>
  <c r="Z11" i="8"/>
  <c r="V11" i="8"/>
  <c r="R11" i="8"/>
  <c r="N11" i="8"/>
  <c r="J11" i="8"/>
  <c r="AD10" i="8"/>
  <c r="Z10" i="8"/>
  <c r="V10" i="8"/>
  <c r="R10" i="8"/>
  <c r="N10" i="8"/>
  <c r="J10" i="8"/>
  <c r="AD9" i="8"/>
  <c r="Z9" i="8"/>
  <c r="V9" i="8"/>
  <c r="R9" i="8"/>
  <c r="N9" i="8"/>
  <c r="J9" i="8"/>
  <c r="AD8" i="8"/>
  <c r="AD21" i="8" s="1"/>
  <c r="Z8" i="8"/>
  <c r="V8" i="8"/>
  <c r="R8" i="8"/>
  <c r="N8" i="8"/>
  <c r="J8" i="8"/>
  <c r="N21" i="8" l="1"/>
  <c r="Z21" i="8"/>
  <c r="D47" i="8"/>
  <c r="D48" i="8" s="1"/>
  <c r="D50" i="8" s="1"/>
  <c r="D51" i="8" s="1"/>
  <c r="V21" i="8"/>
  <c r="R21" i="8"/>
  <c r="J21" i="8"/>
  <c r="B5" i="7"/>
  <c r="D4" i="7"/>
  <c r="E4" i="7" s="1"/>
  <c r="E13" i="3" s="1"/>
  <c r="K16" i="6"/>
  <c r="K14" i="6"/>
  <c r="K15" i="6"/>
  <c r="K13" i="6"/>
  <c r="K12" i="6"/>
  <c r="C18" i="3"/>
  <c r="D20" i="6"/>
  <c r="D21" i="6"/>
  <c r="D19" i="6"/>
  <c r="D13" i="6"/>
  <c r="D14" i="6"/>
  <c r="D12" i="6"/>
  <c r="D11" i="6"/>
  <c r="D5" i="6"/>
  <c r="D6" i="6"/>
  <c r="D4" i="6"/>
  <c r="D18" i="6"/>
  <c r="D3" i="6"/>
  <c r="C23" i="8" l="1"/>
  <c r="C24" i="8"/>
  <c r="F13" i="3"/>
  <c r="C13" i="3"/>
  <c r="D13" i="3"/>
  <c r="D15" i="6"/>
  <c r="F15" i="3" s="1"/>
  <c r="D7" i="6"/>
  <c r="E15" i="3" s="1"/>
  <c r="D22" i="6"/>
  <c r="D15" i="3" s="1"/>
  <c r="C15" i="3" l="1"/>
  <c r="D20" i="3" s="1"/>
  <c r="D16" i="5"/>
  <c r="D14" i="5"/>
  <c r="D13" i="5"/>
  <c r="D12" i="5"/>
  <c r="D11" i="5"/>
  <c r="D10" i="5"/>
  <c r="D15" i="5" s="1"/>
  <c r="D36" i="1"/>
  <c r="B12" i="7"/>
  <c r="C33" i="3" l="1"/>
  <c r="C20" i="3"/>
  <c r="D21" i="3" s="1"/>
  <c r="D17" i="5"/>
  <c r="D47" i="1"/>
  <c r="B13" i="7" s="1"/>
  <c r="D33" i="3" l="1"/>
  <c r="E33" i="3" s="1"/>
  <c r="F33" i="3" s="1"/>
  <c r="G33" i="3" s="1"/>
  <c r="H33" i="3" s="1"/>
  <c r="C34" i="3"/>
  <c r="D34" i="3" s="1"/>
  <c r="B14" i="7"/>
  <c r="C12" i="7" s="1"/>
  <c r="I20" i="3"/>
  <c r="E20" i="3"/>
  <c r="D48" i="1"/>
  <c r="D50" i="1" s="1"/>
  <c r="D35" i="3" l="1"/>
  <c r="E34" i="3"/>
  <c r="E35" i="3" s="1"/>
  <c r="C13" i="7"/>
  <c r="C35" i="3"/>
  <c r="E21" i="3"/>
  <c r="F20" i="3" s="1"/>
  <c r="D51" i="1"/>
  <c r="F34" i="3" l="1"/>
  <c r="F35" i="3" s="1"/>
  <c r="F21" i="3"/>
  <c r="G20" i="3" s="1"/>
  <c r="G21" i="3" s="1"/>
  <c r="H20" i="3" s="1"/>
  <c r="H21" i="3" s="1"/>
  <c r="C14" i="3"/>
  <c r="D18" i="3"/>
  <c r="E18" i="3" s="1"/>
  <c r="F18" i="3" s="1"/>
  <c r="G18" i="3" s="1"/>
  <c r="H18" i="3" s="1"/>
  <c r="G34" i="3" l="1"/>
  <c r="H34" i="3" l="1"/>
  <c r="H35" i="3" s="1"/>
  <c r="G35" i="3"/>
  <c r="J8" i="1"/>
  <c r="C23" i="9" l="1"/>
  <c r="C15" i="9"/>
  <c r="C21" i="9"/>
  <c r="C20" i="9"/>
  <c r="C19" i="9"/>
  <c r="C17" i="9"/>
  <c r="C22" i="9"/>
  <c r="C14" i="9"/>
  <c r="C13" i="9"/>
  <c r="C12" i="9"/>
  <c r="C18" i="9"/>
  <c r="C16" i="9"/>
  <c r="C3" i="7"/>
  <c r="C18" i="7" s="1"/>
  <c r="C20" i="7" s="1"/>
  <c r="C6" i="9" s="1"/>
  <c r="H51" i="3"/>
  <c r="C47" i="1"/>
  <c r="AD9" i="1"/>
  <c r="AD10" i="1"/>
  <c r="AD11" i="1"/>
  <c r="AD12" i="1"/>
  <c r="AD13" i="1"/>
  <c r="AD14" i="1"/>
  <c r="AD15" i="1"/>
  <c r="AD16" i="1"/>
  <c r="AD17" i="1"/>
  <c r="AD18" i="1"/>
  <c r="AD8" i="1"/>
  <c r="Z9" i="1"/>
  <c r="Z10" i="1"/>
  <c r="Z11" i="1"/>
  <c r="Z12" i="1"/>
  <c r="Z13" i="1"/>
  <c r="Z14" i="1"/>
  <c r="Z15" i="1"/>
  <c r="Z16" i="1"/>
  <c r="Z17" i="1"/>
  <c r="Z18" i="1"/>
  <c r="Z8" i="1"/>
  <c r="V9" i="1"/>
  <c r="V10" i="1"/>
  <c r="V11" i="1"/>
  <c r="V12" i="1"/>
  <c r="V13" i="1"/>
  <c r="V14" i="1"/>
  <c r="V15" i="1"/>
  <c r="V16" i="1"/>
  <c r="V17" i="1"/>
  <c r="V18" i="1"/>
  <c r="V8" i="1"/>
  <c r="R9" i="1"/>
  <c r="R10" i="1"/>
  <c r="R11" i="1"/>
  <c r="R12" i="1"/>
  <c r="R13" i="1"/>
  <c r="R14" i="1"/>
  <c r="R15" i="1"/>
  <c r="R16" i="1"/>
  <c r="R17" i="1"/>
  <c r="R18" i="1"/>
  <c r="R8" i="1"/>
  <c r="N9" i="1"/>
  <c r="N10" i="1"/>
  <c r="N11" i="1"/>
  <c r="N12" i="1"/>
  <c r="N13" i="1"/>
  <c r="N14" i="1"/>
  <c r="N15" i="1"/>
  <c r="N16" i="1"/>
  <c r="N17" i="1"/>
  <c r="N18" i="1"/>
  <c r="N8" i="1"/>
  <c r="J9" i="1"/>
  <c r="J10" i="1"/>
  <c r="J11" i="1"/>
  <c r="D20" i="1"/>
  <c r="C28" i="3"/>
  <c r="D24" i="9" l="1"/>
  <c r="B26" i="10"/>
  <c r="D3" i="7"/>
  <c r="E3" i="7" s="1"/>
  <c r="E12" i="3" s="1"/>
  <c r="C5" i="7"/>
  <c r="N21" i="1"/>
  <c r="AD21" i="1"/>
  <c r="Z21" i="1"/>
  <c r="V21" i="1"/>
  <c r="R21" i="1"/>
  <c r="J21" i="1"/>
  <c r="C27" i="3" l="1"/>
  <c r="C29" i="3" s="1"/>
  <c r="C24" i="1"/>
  <c r="A8" i="7" s="1"/>
  <c r="E11" i="3" s="1"/>
  <c r="A23" i="7"/>
  <c r="F12" i="3"/>
  <c r="D12" i="3"/>
  <c r="C12" i="3"/>
  <c r="D28" i="3" s="1"/>
  <c r="C26" i="10" s="1"/>
  <c r="C23" i="1"/>
  <c r="B9" i="10" l="1"/>
  <c r="D11" i="3"/>
  <c r="C11" i="3"/>
  <c r="D27" i="3" s="1"/>
  <c r="F11" i="3"/>
  <c r="E24" i="9"/>
  <c r="E28" i="3"/>
  <c r="C30" i="3"/>
  <c r="D30" i="3" s="1"/>
  <c r="E30" i="3" s="1"/>
  <c r="F30" i="3" s="1"/>
  <c r="G30" i="3" s="1"/>
  <c r="H30" i="3" s="1"/>
  <c r="E27" i="3" l="1"/>
  <c r="F27" i="3" s="1"/>
  <c r="C9" i="10"/>
  <c r="D29" i="3"/>
  <c r="F24" i="9"/>
  <c r="F12" i="9" s="1"/>
  <c r="G13" i="9" s="1"/>
  <c r="H14" i="9" s="1"/>
  <c r="I15" i="9" s="1"/>
  <c r="D26" i="10"/>
  <c r="F28" i="3"/>
  <c r="E12" i="9"/>
  <c r="F13" i="9" s="1"/>
  <c r="G14" i="9" s="1"/>
  <c r="H15" i="9" s="1"/>
  <c r="I16" i="9" s="1"/>
  <c r="E25" i="9"/>
  <c r="E26" i="9" s="1"/>
  <c r="D31" i="3"/>
  <c r="N8" i="10" s="1"/>
  <c r="C31" i="3"/>
  <c r="E31" i="3" l="1"/>
  <c r="O8" i="10" s="1"/>
  <c r="D9" i="10"/>
  <c r="E29" i="3"/>
  <c r="E9" i="10"/>
  <c r="F29" i="3"/>
  <c r="C45" i="3"/>
  <c r="M8" i="10"/>
  <c r="F25" i="9"/>
  <c r="F26" i="9" s="1"/>
  <c r="G24" i="9"/>
  <c r="G25" i="9" s="1"/>
  <c r="E26" i="10"/>
  <c r="G28" i="3"/>
  <c r="H28" i="3" s="1"/>
  <c r="I24" i="9" s="1"/>
  <c r="D36" i="3"/>
  <c r="D45" i="3"/>
  <c r="C36" i="3"/>
  <c r="C37" i="3" s="1"/>
  <c r="G27" i="3"/>
  <c r="F31" i="3"/>
  <c r="P8" i="10" s="1"/>
  <c r="E36" i="3" l="1"/>
  <c r="E45" i="3"/>
  <c r="F9" i="10"/>
  <c r="G29" i="3"/>
  <c r="G12" i="9"/>
  <c r="H13" i="9" s="1"/>
  <c r="I14" i="9" s="1"/>
  <c r="G26" i="9"/>
  <c r="H24" i="9"/>
  <c r="H12" i="9" s="1"/>
  <c r="I13" i="9" s="1"/>
  <c r="F26" i="10"/>
  <c r="I25" i="9"/>
  <c r="F36" i="3"/>
  <c r="F45" i="3"/>
  <c r="H27" i="3"/>
  <c r="G31" i="3"/>
  <c r="Q8" i="10" s="1"/>
  <c r="C38" i="3"/>
  <c r="M26" i="10" s="1"/>
  <c r="D37" i="3"/>
  <c r="G9" i="10" l="1"/>
  <c r="H29" i="3"/>
  <c r="I12" i="9"/>
  <c r="H25" i="9"/>
  <c r="H26" i="9" s="1"/>
  <c r="C43" i="3"/>
  <c r="C46" i="3" s="1"/>
  <c r="G36" i="3"/>
  <c r="G45" i="3"/>
  <c r="H31" i="3"/>
  <c r="R8" i="10" s="1"/>
  <c r="D38" i="3"/>
  <c r="N26" i="10" s="1"/>
  <c r="E37" i="3"/>
  <c r="C50" i="3" l="1"/>
  <c r="D49" i="3" s="1"/>
  <c r="C48" i="3"/>
  <c r="I26" i="9"/>
  <c r="D43" i="3"/>
  <c r="D46" i="3" s="1"/>
  <c r="H36" i="3"/>
  <c r="H45" i="3"/>
  <c r="E38" i="3"/>
  <c r="O26" i="10" s="1"/>
  <c r="F37" i="3"/>
  <c r="D48" i="3" l="1"/>
  <c r="D50" i="3"/>
  <c r="C54" i="3"/>
  <c r="B45" i="10" s="1"/>
  <c r="E43" i="3"/>
  <c r="E46" i="3" s="1"/>
  <c r="E48" i="3" s="1"/>
  <c r="H37" i="3"/>
  <c r="G37" i="3"/>
  <c r="G38" i="3" s="1"/>
  <c r="Q26" i="10" s="1"/>
  <c r="F38" i="3"/>
  <c r="P26" i="10" s="1"/>
  <c r="D54" i="3" l="1"/>
  <c r="C45" i="10" s="1"/>
  <c r="E49" i="3"/>
  <c r="G43" i="3"/>
  <c r="G46" i="3" s="1"/>
  <c r="G48" i="3" s="1"/>
  <c r="F43" i="3"/>
  <c r="F46" i="3" s="1"/>
  <c r="F48" i="3" s="1"/>
  <c r="H38" i="3"/>
  <c r="R26" i="10" s="1"/>
  <c r="E50" i="3" l="1"/>
  <c r="E54" i="3" s="1"/>
  <c r="D45" i="10" s="1"/>
  <c r="H43" i="3"/>
  <c r="H46" i="3" s="1"/>
  <c r="H48" i="3" s="1"/>
  <c r="F49" i="3" l="1"/>
  <c r="F50" i="3"/>
  <c r="F54" i="3" s="1"/>
  <c r="E45" i="10" s="1"/>
  <c r="G49" i="3" l="1"/>
  <c r="G50" i="3" l="1"/>
  <c r="G54" i="3" s="1"/>
  <c r="F45" i="10" s="1"/>
  <c r="H49" i="3" l="1"/>
  <c r="H50" i="3" s="1"/>
  <c r="H54" i="3" s="1"/>
  <c r="P45" i="10" s="1"/>
  <c r="N45" i="10" l="1"/>
  <c r="R45" i="10"/>
  <c r="G45" i="10"/>
  <c r="O45" i="10"/>
  <c r="C56" i="3"/>
  <c r="M45" i="10" s="1"/>
  <c r="Q45" i="10"/>
</calcChain>
</file>

<file path=xl/sharedStrings.xml><?xml version="1.0" encoding="utf-8"?>
<sst xmlns="http://schemas.openxmlformats.org/spreadsheetml/2006/main" count="374" uniqueCount="203">
  <si>
    <t>Class</t>
  </si>
  <si>
    <t>Play Group</t>
  </si>
  <si>
    <t>PP1</t>
  </si>
  <si>
    <t>PP2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</si>
  <si>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</si>
  <si>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</si>
  <si>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</si>
  <si>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</si>
  <si>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</si>
  <si>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</si>
  <si>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</si>
  <si>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</si>
  <si>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Student Strength</t>
  </si>
  <si>
    <t>Expected Income Per Year</t>
  </si>
  <si>
    <t>Current Student Enrollment</t>
  </si>
  <si>
    <t>Tuition Fees Per Term</t>
  </si>
  <si>
    <t>Meals</t>
  </si>
  <si>
    <t>Transport</t>
  </si>
  <si>
    <t>Examination Fees</t>
  </si>
  <si>
    <t>Stationery</t>
  </si>
  <si>
    <t>Tution</t>
  </si>
  <si>
    <t>Additional Classes</t>
  </si>
  <si>
    <t>Collection Efficiency</t>
  </si>
  <si>
    <t>School Expenses</t>
  </si>
  <si>
    <t>Monthly</t>
  </si>
  <si>
    <t>Teachers Salaries</t>
  </si>
  <si>
    <t>Non-Teaching Staff</t>
  </si>
  <si>
    <t>Directors Salary</t>
  </si>
  <si>
    <t>Admin Salary</t>
  </si>
  <si>
    <t>Operating Expenses</t>
  </si>
  <si>
    <t>Water,Cleaning and Sanitation</t>
  </si>
  <si>
    <t>Electricity</t>
  </si>
  <si>
    <t>Business Permit</t>
  </si>
  <si>
    <t>Groceries or food items</t>
  </si>
  <si>
    <t>Extra Class expenses</t>
  </si>
  <si>
    <t xml:space="preserve">Fuel </t>
  </si>
  <si>
    <t>Motor vehicle maintenance</t>
  </si>
  <si>
    <t>Miscelleneous</t>
  </si>
  <si>
    <t>Total Expenses</t>
  </si>
  <si>
    <t>Year 0</t>
  </si>
  <si>
    <t>Year 1</t>
  </si>
  <si>
    <t>Year 2</t>
  </si>
  <si>
    <t>Year 3</t>
  </si>
  <si>
    <t>Year 4</t>
  </si>
  <si>
    <t>Rent (where applicable)</t>
  </si>
  <si>
    <t>Surplus/Loss</t>
  </si>
  <si>
    <t>Tax Provision</t>
  </si>
  <si>
    <t>Net Surplus/Loss before debt service</t>
  </si>
  <si>
    <t>Less Customer Contribution</t>
  </si>
  <si>
    <t>Description of Project</t>
  </si>
  <si>
    <t>Estimated Cost</t>
  </si>
  <si>
    <t>Total Estimated Cost of Project</t>
  </si>
  <si>
    <t>Loan Amount requested from EPA</t>
  </si>
  <si>
    <t>Eligible Income</t>
  </si>
  <si>
    <t>Net Appraised Monthly Income</t>
  </si>
  <si>
    <t>Maximum Possible DBR (Debt Burden Ratio)</t>
  </si>
  <si>
    <t>Loan Tenor</t>
  </si>
  <si>
    <t>Interest Rate</t>
  </si>
  <si>
    <t>Gross Annual Income (Cumulative Actuals from analysed statements)</t>
  </si>
  <si>
    <t>Totals</t>
  </si>
  <si>
    <t>Exam administration (Per Term)</t>
  </si>
  <si>
    <t>Profitability Margins Per Year</t>
  </si>
  <si>
    <t>Loan Tenor (Months)</t>
  </si>
  <si>
    <t>Construction</t>
  </si>
  <si>
    <t>Annual School Fees Per Student</t>
  </si>
  <si>
    <t>Tuition Fee Totals</t>
  </si>
  <si>
    <t>Stationery Income Total</t>
  </si>
  <si>
    <t>Examination Fee Income Totals</t>
  </si>
  <si>
    <t>Meal Income Totals</t>
  </si>
  <si>
    <t>Transport Income Total</t>
  </si>
  <si>
    <t>Additional Classes Income Totals</t>
  </si>
  <si>
    <t xml:space="preserve">SCHOOL INCOMES </t>
  </si>
  <si>
    <t xml:space="preserve">Inputs </t>
  </si>
  <si>
    <t xml:space="preserve">Blue </t>
  </si>
  <si>
    <t xml:space="preserve">Outputs and Calculations </t>
  </si>
  <si>
    <t>Black</t>
  </si>
  <si>
    <t xml:space="preserve">References to another sheet </t>
  </si>
  <si>
    <t xml:space="preserve">Green </t>
  </si>
  <si>
    <t xml:space="preserve">Assumptions </t>
  </si>
  <si>
    <t xml:space="preserve">Blue shading </t>
  </si>
  <si>
    <t>MACROECONOMIC ASSUMPTIONS</t>
  </si>
  <si>
    <t>Description</t>
  </si>
  <si>
    <t xml:space="preserve">KEY ASSUMPTIONS </t>
  </si>
  <si>
    <t xml:space="preserve">SCENARIOS </t>
  </si>
  <si>
    <t>Year 5</t>
  </si>
  <si>
    <t>-Student count</t>
  </si>
  <si>
    <t>-Annual School Fee per student</t>
  </si>
  <si>
    <t xml:space="preserve">Projections </t>
  </si>
  <si>
    <t>Green Shading</t>
  </si>
  <si>
    <t>CASHFLOW PROJECTIONS</t>
  </si>
  <si>
    <t>Actuals</t>
  </si>
  <si>
    <t>Forecast</t>
  </si>
  <si>
    <t>Other Loan Commitments</t>
  </si>
  <si>
    <t>-Taxation</t>
  </si>
  <si>
    <t>SELECT SCENARIO</t>
  </si>
  <si>
    <t>WORST CASE</t>
  </si>
  <si>
    <t xml:space="preserve">BEST CASE </t>
  </si>
  <si>
    <t>Increase/Decrease</t>
  </si>
  <si>
    <t>Parameter</t>
  </si>
  <si>
    <t>Grade 9</t>
  </si>
  <si>
    <t xml:space="preserve">Annual </t>
  </si>
  <si>
    <t>Tax Applied</t>
  </si>
  <si>
    <t>Administrative Expenses</t>
  </si>
  <si>
    <t>Surplus/Loss After Tax</t>
  </si>
  <si>
    <t>Input scenario below</t>
  </si>
  <si>
    <t xml:space="preserve">PROJECT DESCRIPTION </t>
  </si>
  <si>
    <t>MODEL GUIDE</t>
  </si>
  <si>
    <t xml:space="preserve">NAME OF SCHOOL : </t>
  </si>
  <si>
    <t>FUNDING REQUEST (KES)</t>
  </si>
  <si>
    <t>https://tradingeconomics.com/kenya/unemployment-rate</t>
  </si>
  <si>
    <t>Umployment Rate</t>
  </si>
  <si>
    <t>https://www.afdb.org/en/countries-east-africa-kenya/kenya-economic-outlook</t>
  </si>
  <si>
    <t>Inflation</t>
  </si>
  <si>
    <t>GDP</t>
  </si>
  <si>
    <t>Source</t>
  </si>
  <si>
    <t>Weights</t>
  </si>
  <si>
    <t>Year</t>
  </si>
  <si>
    <t>Total</t>
  </si>
  <si>
    <t>- % Kenya Macro Econ</t>
  </si>
  <si>
    <t>Kenya Macro Econ</t>
  </si>
  <si>
    <t>&lt;---- Macro Econ Sensitivity Factor</t>
  </si>
  <si>
    <t>Teacher Count</t>
  </si>
  <si>
    <t>Best Case</t>
  </si>
  <si>
    <t>Worst Case</t>
  </si>
  <si>
    <t>Inflation rate Band</t>
  </si>
  <si>
    <t>Worst</t>
  </si>
  <si>
    <t>Base</t>
  </si>
  <si>
    <t>Best</t>
  </si>
  <si>
    <t>https://www.treasury.go.ke/wp-content/uploads/2022/08/NOTICE-ON-PRICE-STABILITY-TARGET.pdf</t>
  </si>
  <si>
    <t>Central Bank lending Base Rate</t>
  </si>
  <si>
    <t>https://www.centralbank.go.ke/rates/central-bank-rate/</t>
  </si>
  <si>
    <t>Bands</t>
  </si>
  <si>
    <t>https://www.centralbank.go.ke/annual-gdp/</t>
  </si>
  <si>
    <t>Kenya Unemployment Rate - 2023 Data - 2024 Forecast - 1991-2022 Historical - Chart (tradingeconomics.com)</t>
  </si>
  <si>
    <t>Macro-Econ</t>
  </si>
  <si>
    <t>Year 2024</t>
  </si>
  <si>
    <t>Rate</t>
  </si>
  <si>
    <t>Kenya Economic Outlook | African Development Bank Group - Making a Difference (afdb.org)</t>
  </si>
  <si>
    <t>Kenya Interest Rate - 2023 Data - 1991-2022 Historical - 2024 Forecast - Calendar (tradingeconomics.com)</t>
  </si>
  <si>
    <t>Student Teacher Ratio</t>
  </si>
  <si>
    <t>Previous Year</t>
  </si>
  <si>
    <t>Current Year</t>
  </si>
  <si>
    <t>Students</t>
  </si>
  <si>
    <t>Teachers</t>
  </si>
  <si>
    <t>Ratios</t>
  </si>
  <si>
    <t>Increas/Decrease</t>
  </si>
  <si>
    <t>Growth Rate</t>
  </si>
  <si>
    <t>Annual School Fees Per Student Ratio</t>
  </si>
  <si>
    <t>https://tradingeconomics.com/kenya/interest-rate#:~:text=In%20the%20long%2Dterm%2C%20the,according%20to%20our%20econometric%20models.&amp;text=In%20Kenya%2C%20interest%20rates%20decisions,The%20Central%20Bank%20of%20Kenya.</t>
  </si>
  <si>
    <t>Student Expense Ratio</t>
  </si>
  <si>
    <t>Others</t>
  </si>
  <si>
    <t xml:space="preserve">Annual Expected School Fee per student </t>
  </si>
  <si>
    <t xml:space="preserve">Student Count </t>
  </si>
  <si>
    <t>Collection Efficiency Rate</t>
  </si>
  <si>
    <t xml:space="preserve">Gross Income </t>
  </si>
  <si>
    <t xml:space="preserve">       Teacher Salaries</t>
  </si>
  <si>
    <t xml:space="preserve">      Other Expenses</t>
  </si>
  <si>
    <t>Income Statement</t>
  </si>
  <si>
    <t>Profitability Discount</t>
  </si>
  <si>
    <t>Discounted Profitability</t>
  </si>
  <si>
    <t>Maximum Loan Eligibility By Cashflows</t>
  </si>
  <si>
    <t>Funding Gap Analysis</t>
  </si>
  <si>
    <t>Ratio</t>
  </si>
  <si>
    <t>Total Student Count</t>
  </si>
  <si>
    <t>Number of Classes</t>
  </si>
  <si>
    <t xml:space="preserve">Class Capacity </t>
  </si>
  <si>
    <t>Number of Students</t>
  </si>
  <si>
    <t>Student to Class Ratio</t>
  </si>
  <si>
    <t>Max School Population Capacity</t>
  </si>
  <si>
    <t xml:space="preserve">Class Gap </t>
  </si>
  <si>
    <t>Funding Guideline Key</t>
  </si>
  <si>
    <t xml:space="preserve">Opportunity to Fund the School - Gap is below the maximum capacity of the School </t>
  </si>
  <si>
    <t>We cannot fund the school - Gap exceeds the maximum that the school can accommodate</t>
  </si>
  <si>
    <t xml:space="preserve">CLASS AND SCHOOL DETAILS  </t>
  </si>
  <si>
    <t>Taxation</t>
  </si>
  <si>
    <t>Interesr Rate</t>
  </si>
  <si>
    <t xml:space="preserve">Annual Fee Per Per Student </t>
  </si>
  <si>
    <t>FORECAST DASHBOARD</t>
  </si>
  <si>
    <t>CURRENT CASE</t>
  </si>
  <si>
    <t>Current Case</t>
  </si>
  <si>
    <t>Existing Obligations Per Month (Amortized)</t>
  </si>
  <si>
    <t>Break-even collection Rate</t>
  </si>
  <si>
    <t>Gross/Expected income growth rate</t>
  </si>
  <si>
    <t>Maximam Affordability Per Month Before Existing Obligations</t>
  </si>
  <si>
    <t>Maximam Affordability Per Month Post Existing Obligations</t>
  </si>
  <si>
    <t>Number of Teachers</t>
  </si>
  <si>
    <t>ORGANIZATION'S NAME:</t>
  </si>
  <si>
    <t xml:space="preserve">ORGANIZATION'S LOCATION:  </t>
  </si>
  <si>
    <t>INDUSTRY</t>
  </si>
  <si>
    <t>XYZ International School</t>
  </si>
  <si>
    <t>Education</t>
  </si>
  <si>
    <t>Molo Nakuru County</t>
  </si>
  <si>
    <t>Holidays</t>
  </si>
  <si>
    <t>Semester 1</t>
  </si>
  <si>
    <t>Semester 2</t>
  </si>
  <si>
    <t>Semester 3</t>
  </si>
  <si>
    <t>Exam administration (Per Sem)</t>
  </si>
  <si>
    <t>Break Even</t>
  </si>
  <si>
    <t>Red</t>
  </si>
  <si>
    <t>Running loans (Interest Only)</t>
  </si>
  <si>
    <t>Running Loan (P+I)</t>
  </si>
  <si>
    <t>Possible Credit Limit/Proposed Loan Limit Amount</t>
  </si>
  <si>
    <t>Monthly Running Loan (P+I)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</si>
</sst>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Ksh&quot;#,##0.00;[Red]\-&quot;Ksh&quot;#,##0.00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name val="Century Gothic"/>
      <family val="2"/>
    </font>
    <font>
      <sz val="10"/>
      <color rgb="FF0070C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color rgb="FF000000"/>
      <name val="Century Gothic"/>
      <family val="2"/>
    </font>
    <font>
      <b/>
      <i/>
      <sz val="10"/>
      <name val="Century Gothic"/>
      <family val="2"/>
    </font>
    <font>
      <b/>
      <sz val="10"/>
      <color rgb="FF00B05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2"/>
      <color theme="1"/>
      <name val="Century Gothic"/>
      <family val="2"/>
    </font>
    <font>
      <b/>
      <sz val="10"/>
      <color rgb="FF2F5496"/>
      <name val="Century Gothic"/>
      <family val="2"/>
    </font>
    <font>
      <b/>
      <sz val="11"/>
      <color rgb="FFC00000"/>
      <name val="Century Gothic"/>
      <family val="2"/>
    </font>
    <font>
      <b/>
      <i/>
      <sz val="10"/>
      <color rgb="FF000000"/>
      <name val="Century Gothic"/>
      <family val="2"/>
    </font>
    <font>
      <sz val="9"/>
      <color theme="1"/>
      <name val="Century Gothic"/>
      <family val="2"/>
    </font>
    <font>
      <b/>
      <sz val="9"/>
      <color theme="5"/>
      <name val="Century Gothic"/>
      <family val="2"/>
    </font>
    <font>
      <b/>
      <i/>
      <sz val="9"/>
      <color theme="5"/>
      <name val="Century Gothic"/>
      <family val="2"/>
    </font>
    <font>
      <sz val="9"/>
      <color theme="5"/>
      <name val="Century Gothic"/>
      <family val="2"/>
    </font>
    <font>
      <b/>
      <sz val="10"/>
      <color rgb="FF0070C0"/>
      <name val="Century Gothic"/>
      <family val="2"/>
    </font>
    <font>
      <sz val="11"/>
      <color rgb="FFC00000"/>
      <name val="Century Gothic"/>
      <family val="2"/>
    </font>
    <font>
      <sz val="10"/>
      <color theme="4"/>
      <name val="Century Gothic"/>
      <family val="2"/>
    </font>
    <font>
      <sz val="10"/>
      <color rgb="FF00B050"/>
      <name val="Century Gothic"/>
      <family val="2"/>
    </font>
    <font>
      <b/>
      <sz val="9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4"/>
      <name val="Century Gothic"/>
      <family val="2"/>
    </font>
    <font>
      <sz val="11"/>
      <color rgb="FF00B050"/>
      <name val="Century Gothic"/>
      <family val="2"/>
    </font>
    <font>
      <b/>
      <sz val="11"/>
      <color rgb="FF00B050"/>
      <name val="Century Gothic"/>
      <family val="2"/>
    </font>
    <font>
      <b/>
      <u/>
      <sz val="11"/>
      <name val="Century Gothic"/>
      <family val="2"/>
    </font>
    <font>
      <sz val="11"/>
      <color theme="0"/>
      <name val="Calibri"/>
      <family val="2"/>
      <scheme val="minor"/>
    </font>
    <font>
      <sz val="11"/>
      <color rgb="FFFF0000"/>
      <name val="Century Gothic"/>
      <family val="2"/>
    </font>
    <font>
      <sz val="10"/>
      <color rgb="FFFF0000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2E75B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92B43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43" fontId="5" fillId="0" borderId="0" xfId="1" applyFont="1"/>
    <xf numFmtId="0" fontId="5" fillId="0" borderId="0" xfId="0" applyFont="1" applyAlignment="1">
      <alignment wrapText="1"/>
    </xf>
    <xf numFmtId="9" fontId="5" fillId="0" borderId="0" xfId="2" applyFont="1"/>
    <xf numFmtId="43" fontId="5" fillId="0" borderId="0" xfId="2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3" fontId="5" fillId="0" borderId="6" xfId="1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43" fontId="4" fillId="0" borderId="12" xfId="1" applyFont="1" applyBorder="1"/>
    <xf numFmtId="43" fontId="4" fillId="0" borderId="12" xfId="0" applyNumberFormat="1" applyFont="1" applyBorder="1"/>
    <xf numFmtId="0" fontId="4" fillId="0" borderId="12" xfId="0" applyFont="1" applyBorder="1"/>
    <xf numFmtId="43" fontId="8" fillId="0" borderId="5" xfId="1" applyFont="1" applyBorder="1"/>
    <xf numFmtId="43" fontId="8" fillId="0" borderId="0" xfId="1" applyFont="1" applyBorder="1"/>
    <xf numFmtId="43" fontId="8" fillId="0" borderId="6" xfId="1" applyFont="1" applyBorder="1"/>
    <xf numFmtId="0" fontId="3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9" fillId="0" borderId="0" xfId="0" applyFont="1" applyFill="1"/>
    <xf numFmtId="0" fontId="9" fillId="0" borderId="0" xfId="0" applyFont="1"/>
    <xf numFmtId="0" fontId="7" fillId="0" borderId="0" xfId="0" applyFont="1"/>
    <xf numFmtId="0" fontId="11" fillId="0" borderId="0" xfId="0" applyFont="1" applyFill="1"/>
    <xf numFmtId="0" fontId="11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9" fillId="0" borderId="11" xfId="0" applyFont="1" applyBorder="1"/>
    <xf numFmtId="0" fontId="12" fillId="0" borderId="11" xfId="0" applyFont="1" applyBorder="1" applyAlignment="1">
      <alignment horizontal="right"/>
    </xf>
    <xf numFmtId="0" fontId="5" fillId="0" borderId="0" xfId="0" quotePrefix="1" applyFont="1"/>
    <xf numFmtId="166" fontId="13" fillId="6" borderId="0" xfId="0" applyNumberFormat="1" applyFont="1" applyFill="1" applyAlignment="1">
      <alignment horizontal="right"/>
    </xf>
    <xf numFmtId="0" fontId="16" fillId="0" borderId="0" xfId="0" applyFont="1"/>
    <xf numFmtId="166" fontId="17" fillId="5" borderId="0" xfId="2" applyNumberFormat="1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6" fontId="17" fillId="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7" fillId="9" borderId="0" xfId="0" applyFont="1" applyFill="1" applyAlignment="1">
      <alignment horizontal="left"/>
    </xf>
    <xf numFmtId="0" fontId="7" fillId="9" borderId="0" xfId="0" applyFont="1" applyFill="1" applyAlignment="1">
      <alignment horizontal="right"/>
    </xf>
    <xf numFmtId="0" fontId="7" fillId="9" borderId="0" xfId="0" applyFont="1" applyFill="1"/>
    <xf numFmtId="0" fontId="9" fillId="0" borderId="6" xfId="0" quotePrefix="1" applyFont="1" applyBorder="1"/>
    <xf numFmtId="43" fontId="14" fillId="0" borderId="0" xfId="0" applyNumberFormat="1" applyFont="1" applyAlignment="1"/>
    <xf numFmtId="0" fontId="20" fillId="0" borderId="0" xfId="0" applyFont="1"/>
    <xf numFmtId="0" fontId="18" fillId="4" borderId="13" xfId="0" applyFont="1" applyFill="1" applyBorder="1" applyAlignment="1">
      <alignment horizontal="center"/>
    </xf>
    <xf numFmtId="0" fontId="15" fillId="0" borderId="0" xfId="0" applyFont="1"/>
    <xf numFmtId="0" fontId="14" fillId="0" borderId="0" xfId="0" applyFont="1"/>
    <xf numFmtId="0" fontId="21" fillId="0" borderId="0" xfId="0" applyFont="1" applyAlignment="1">
      <alignment horizontal="right"/>
    </xf>
    <xf numFmtId="166" fontId="21" fillId="5" borderId="0" xfId="2" applyNumberFormat="1" applyFont="1" applyFill="1" applyAlignment="1">
      <alignment horizontal="right"/>
    </xf>
    <xf numFmtId="10" fontId="21" fillId="5" borderId="0" xfId="0" applyNumberFormat="1" applyFont="1" applyFill="1"/>
    <xf numFmtId="0" fontId="22" fillId="0" borderId="0" xfId="0" applyFont="1" applyBorder="1" applyAlignment="1">
      <alignment horizontal="center"/>
    </xf>
    <xf numFmtId="0" fontId="23" fillId="0" borderId="0" xfId="0" applyFont="1"/>
    <xf numFmtId="0" fontId="21" fillId="0" borderId="0" xfId="0" applyFont="1"/>
    <xf numFmtId="0" fontId="9" fillId="0" borderId="0" xfId="0" quotePrefix="1" applyFont="1" applyBorder="1"/>
    <xf numFmtId="166" fontId="7" fillId="0" borderId="14" xfId="2" applyNumberFormat="1" applyFont="1" applyBorder="1" applyAlignment="1">
      <alignment horizontal="center"/>
    </xf>
    <xf numFmtId="166" fontId="7" fillId="0" borderId="15" xfId="2" applyNumberFormat="1" applyFont="1" applyBorder="1" applyAlignment="1">
      <alignment horizontal="center"/>
    </xf>
    <xf numFmtId="166" fontId="7" fillId="0" borderId="1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16" fillId="0" borderId="0" xfId="0" applyFont="1" applyFill="1"/>
    <xf numFmtId="0" fontId="21" fillId="0" borderId="0" xfId="0" applyFont="1" applyFill="1"/>
    <xf numFmtId="164" fontId="5" fillId="0" borderId="0" xfId="0" applyNumberFormat="1" applyFont="1"/>
    <xf numFmtId="0" fontId="4" fillId="3" borderId="0" xfId="0" applyFont="1" applyFill="1"/>
    <xf numFmtId="0" fontId="4" fillId="3" borderId="12" xfId="0" applyFont="1" applyFill="1" applyBorder="1"/>
    <xf numFmtId="0" fontId="4" fillId="3" borderId="0" xfId="0" applyFont="1" applyFill="1" applyAlignment="1">
      <alignment horizontal="right"/>
    </xf>
    <xf numFmtId="0" fontId="4" fillId="8" borderId="0" xfId="0" applyFont="1" applyFill="1"/>
    <xf numFmtId="0" fontId="5" fillId="8" borderId="0" xfId="0" applyFont="1" applyFill="1"/>
    <xf numFmtId="164" fontId="5" fillId="8" borderId="0" xfId="0" applyNumberFormat="1" applyFont="1" applyFill="1"/>
    <xf numFmtId="43" fontId="4" fillId="8" borderId="0" xfId="1" applyFont="1" applyFill="1"/>
    <xf numFmtId="164" fontId="4" fillId="8" borderId="0" xfId="0" applyNumberFormat="1" applyFont="1" applyFill="1"/>
    <xf numFmtId="43" fontId="4" fillId="8" borderId="0" xfId="0" applyNumberFormat="1" applyFont="1" applyFill="1"/>
    <xf numFmtId="43" fontId="4" fillId="8" borderId="7" xfId="1" applyFont="1" applyFill="1" applyBorder="1"/>
    <xf numFmtId="43" fontId="4" fillId="8" borderId="8" xfId="1" applyFont="1" applyFill="1" applyBorder="1"/>
    <xf numFmtId="43" fontId="4" fillId="8" borderId="9" xfId="1" applyFont="1" applyFill="1" applyBorder="1"/>
    <xf numFmtId="0" fontId="4" fillId="8" borderId="9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43" fontId="24" fillId="0" borderId="0" xfId="1" applyFont="1" applyAlignment="1">
      <alignment wrapText="1"/>
    </xf>
    <xf numFmtId="9" fontId="8" fillId="0" borderId="0" xfId="2" applyFont="1" applyFill="1"/>
    <xf numFmtId="43" fontId="9" fillId="0" borderId="0" xfId="0" applyNumberFormat="1" applyFont="1" applyFill="1"/>
    <xf numFmtId="43" fontId="14" fillId="0" borderId="0" xfId="1" applyFont="1" applyAlignment="1"/>
    <xf numFmtId="43" fontId="14" fillId="0" borderId="0" xfId="0" applyNumberFormat="1" applyFont="1"/>
    <xf numFmtId="166" fontId="14" fillId="0" borderId="0" xfId="2" applyNumberFormat="1" applyFont="1"/>
    <xf numFmtId="0" fontId="3" fillId="3" borderId="8" xfId="0" applyFont="1" applyFill="1" applyBorder="1"/>
    <xf numFmtId="0" fontId="3" fillId="3" borderId="8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1" xfId="0" applyFont="1" applyFill="1" applyBorder="1" applyAlignment="1">
      <alignment horizontal="right"/>
    </xf>
    <xf numFmtId="0" fontId="25" fillId="0" borderId="0" xfId="0" applyFont="1"/>
    <xf numFmtId="43" fontId="25" fillId="0" borderId="0" xfId="0" applyNumberFormat="1" applyFont="1" applyAlignment="1"/>
    <xf numFmtId="0" fontId="25" fillId="0" borderId="0" xfId="0" applyFont="1" applyFill="1"/>
    <xf numFmtId="0" fontId="14" fillId="0" borderId="0" xfId="0" applyFont="1" applyFill="1"/>
    <xf numFmtId="0" fontId="7" fillId="0" borderId="11" xfId="0" applyFont="1" applyBorder="1" applyAlignment="1">
      <alignment horizontal="center"/>
    </xf>
    <xf numFmtId="0" fontId="5" fillId="0" borderId="1" xfId="0" applyFont="1" applyBorder="1"/>
    <xf numFmtId="0" fontId="4" fillId="8" borderId="1" xfId="0" applyFont="1" applyFill="1" applyBorder="1"/>
    <xf numFmtId="43" fontId="5" fillId="0" borderId="1" xfId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3" fontId="5" fillId="0" borderId="1" xfId="0" applyNumberFormat="1" applyFont="1" applyBorder="1" applyAlignment="1">
      <alignment horizontal="right"/>
    </xf>
    <xf numFmtId="0" fontId="4" fillId="2" borderId="22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26" fillId="0" borderId="1" xfId="0" applyFont="1" applyBorder="1"/>
    <xf numFmtId="0" fontId="27" fillId="0" borderId="1" xfId="0" applyFont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25" fillId="0" borderId="0" xfId="0" applyFont="1" applyAlignment="1"/>
    <xf numFmtId="166" fontId="14" fillId="0" borderId="0" xfId="2" applyNumberFormat="1" applyFont="1" applyFill="1" applyAlignment="1"/>
    <xf numFmtId="0" fontId="20" fillId="0" borderId="0" xfId="0" applyFont="1" applyFill="1"/>
    <xf numFmtId="0" fontId="28" fillId="2" borderId="0" xfId="0" quotePrefix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Border="1" applyAlignment="1">
      <alignment horizontal="left"/>
    </xf>
    <xf numFmtId="10" fontId="5" fillId="0" borderId="0" xfId="2" applyNumberFormat="1" applyFont="1"/>
    <xf numFmtId="166" fontId="7" fillId="5" borderId="0" xfId="0" applyNumberFormat="1" applyFont="1" applyFill="1"/>
    <xf numFmtId="2" fontId="0" fillId="0" borderId="0" xfId="0" applyNumberFormat="1"/>
    <xf numFmtId="0" fontId="9" fillId="0" borderId="22" xfId="0" applyFont="1" applyBorder="1"/>
    <xf numFmtId="0" fontId="9" fillId="0" borderId="0" xfId="0" applyFont="1" applyBorder="1"/>
    <xf numFmtId="0" fontId="5" fillId="0" borderId="23" xfId="0" applyFont="1" applyBorder="1"/>
    <xf numFmtId="0" fontId="5" fillId="0" borderId="22" xfId="0" applyFont="1" applyBorder="1"/>
    <xf numFmtId="166" fontId="5" fillId="0" borderId="0" xfId="2" applyNumberFormat="1" applyFont="1" applyBorder="1"/>
    <xf numFmtId="0" fontId="5" fillId="0" borderId="0" xfId="0" applyFont="1" applyBorder="1"/>
    <xf numFmtId="10" fontId="5" fillId="0" borderId="0" xfId="2" applyNumberFormat="1" applyFont="1" applyBorder="1"/>
    <xf numFmtId="2" fontId="29" fillId="0" borderId="23" xfId="3" applyNumberFormat="1" applyBorder="1" applyAlignment="1">
      <alignment horizontal="center"/>
    </xf>
    <xf numFmtId="0" fontId="5" fillId="0" borderId="19" xfId="0" applyFont="1" applyBorder="1"/>
    <xf numFmtId="0" fontId="5" fillId="0" borderId="20" xfId="0" applyFont="1" applyBorder="1"/>
    <xf numFmtId="10" fontId="5" fillId="0" borderId="20" xfId="2" applyNumberFormat="1" applyFont="1" applyBorder="1"/>
    <xf numFmtId="0" fontId="5" fillId="0" borderId="21" xfId="0" applyFont="1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166" fontId="0" fillId="0" borderId="0" xfId="2" applyNumberFormat="1" applyFont="1" applyBorder="1"/>
    <xf numFmtId="10" fontId="0" fillId="0" borderId="0" xfId="2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0" xfId="0" applyNumberFormat="1" applyBorder="1"/>
    <xf numFmtId="0" fontId="0" fillId="0" borderId="16" xfId="0" applyBorder="1"/>
    <xf numFmtId="0" fontId="0" fillId="0" borderId="18" xfId="0" applyBorder="1"/>
    <xf numFmtId="0" fontId="29" fillId="0" borderId="23" xfId="3" applyBorder="1"/>
    <xf numFmtId="0" fontId="29" fillId="0" borderId="23" xfId="3" applyBorder="1" applyAlignment="1">
      <alignment vertical="center"/>
    </xf>
    <xf numFmtId="0" fontId="29" fillId="0" borderId="21" xfId="3" applyBorder="1"/>
    <xf numFmtId="0" fontId="0" fillId="0" borderId="22" xfId="0" applyFont="1" applyBorder="1"/>
    <xf numFmtId="0" fontId="0" fillId="0" borderId="19" xfId="0" applyFont="1" applyBorder="1"/>
    <xf numFmtId="2" fontId="30" fillId="0" borderId="20" xfId="0" applyNumberFormat="1" applyFont="1" applyBorder="1"/>
    <xf numFmtId="43" fontId="8" fillId="0" borderId="24" xfId="1" applyFont="1" applyBorder="1"/>
    <xf numFmtId="43" fontId="0" fillId="0" borderId="0" xfId="0" applyNumberFormat="1" applyBorder="1"/>
    <xf numFmtId="0" fontId="0" fillId="0" borderId="17" xfId="0" applyBorder="1"/>
    <xf numFmtId="10" fontId="0" fillId="0" borderId="19" xfId="2" applyNumberFormat="1" applyFont="1" applyBorder="1"/>
    <xf numFmtId="0" fontId="32" fillId="0" borderId="0" xfId="0" applyFont="1" applyBorder="1"/>
    <xf numFmtId="43" fontId="14" fillId="0" borderId="8" xfId="0" applyNumberFormat="1" applyFont="1" applyBorder="1" applyAlignment="1"/>
    <xf numFmtId="43" fontId="2" fillId="0" borderId="0" xfId="0" applyNumberFormat="1" applyFont="1" applyAlignment="1"/>
    <xf numFmtId="43" fontId="15" fillId="0" borderId="0" xfId="0" applyNumberFormat="1" applyFont="1" applyAlignment="1"/>
    <xf numFmtId="0" fontId="2" fillId="0" borderId="0" xfId="0" applyFont="1" applyFill="1" applyBorder="1"/>
    <xf numFmtId="0" fontId="3" fillId="0" borderId="0" xfId="0" applyFont="1" applyFill="1" applyBorder="1"/>
    <xf numFmtId="0" fontId="33" fillId="0" borderId="0" xfId="0" applyFont="1"/>
    <xf numFmtId="0" fontId="33" fillId="10" borderId="0" xfId="0" applyFont="1" applyFill="1" applyAlignment="1"/>
    <xf numFmtId="0" fontId="33" fillId="0" borderId="0" xfId="0" applyFont="1" applyFill="1"/>
    <xf numFmtId="0" fontId="15" fillId="0" borderId="0" xfId="0" applyFont="1" applyFill="1"/>
    <xf numFmtId="165" fontId="14" fillId="0" borderId="0" xfId="0" applyNumberFormat="1" applyFont="1" applyAlignment="1"/>
    <xf numFmtId="0" fontId="25" fillId="2" borderId="0" xfId="0" applyFont="1" applyFill="1"/>
    <xf numFmtId="43" fontId="25" fillId="2" borderId="0" xfId="0" applyNumberFormat="1" applyFont="1" applyFill="1" applyAlignment="1"/>
    <xf numFmtId="165" fontId="14" fillId="0" borderId="0" xfId="1" applyNumberFormat="1" applyFont="1"/>
    <xf numFmtId="9" fontId="14" fillId="0" borderId="0" xfId="2" applyFont="1"/>
    <xf numFmtId="166" fontId="14" fillId="0" borderId="0" xfId="2" applyNumberFormat="1" applyFont="1" applyAlignment="1"/>
    <xf numFmtId="166" fontId="14" fillId="0" borderId="0" xfId="0" applyNumberFormat="1" applyFont="1" applyFill="1" applyAlignment="1"/>
    <xf numFmtId="166" fontId="33" fillId="0" borderId="0" xfId="2" applyNumberFormat="1" applyFont="1"/>
    <xf numFmtId="43" fontId="15" fillId="0" borderId="11" xfId="1" applyNumberFormat="1" applyFont="1" applyBorder="1" applyAlignment="1"/>
    <xf numFmtId="43" fontId="15" fillId="0" borderId="26" xfId="1" applyNumberFormat="1" applyFont="1" applyBorder="1"/>
    <xf numFmtId="43" fontId="14" fillId="0" borderId="0" xfId="1" applyNumberFormat="1" applyFont="1"/>
    <xf numFmtId="0" fontId="15" fillId="0" borderId="8" xfId="0" applyFont="1" applyBorder="1"/>
    <xf numFmtId="0" fontId="25" fillId="0" borderId="8" xfId="0" applyFont="1" applyBorder="1" applyAlignment="1"/>
    <xf numFmtId="165" fontId="14" fillId="0" borderId="0" xfId="1" applyNumberFormat="1" applyFont="1" applyFill="1"/>
    <xf numFmtId="165" fontId="0" fillId="0" borderId="0" xfId="0" applyNumberFormat="1"/>
    <xf numFmtId="0" fontId="31" fillId="0" borderId="0" xfId="0" applyFont="1" applyBorder="1" applyAlignment="1">
      <alignment horizontal="center"/>
    </xf>
    <xf numFmtId="0" fontId="34" fillId="0" borderId="0" xfId="0" applyFont="1"/>
    <xf numFmtId="0" fontId="35" fillId="0" borderId="0" xfId="0" applyFont="1"/>
    <xf numFmtId="1" fontId="2" fillId="0" borderId="0" xfId="0" applyNumberFormat="1" applyFont="1"/>
    <xf numFmtId="0" fontId="36" fillId="0" borderId="0" xfId="0" applyFont="1"/>
    <xf numFmtId="0" fontId="3" fillId="0" borderId="25" xfId="0" applyFont="1" applyBorder="1"/>
    <xf numFmtId="0" fontId="30" fillId="0" borderId="25" xfId="0" applyFont="1" applyBorder="1"/>
    <xf numFmtId="0" fontId="2" fillId="0" borderId="3" xfId="0" applyFont="1" applyBorder="1"/>
    <xf numFmtId="0" fontId="0" fillId="0" borderId="3" xfId="0" applyBorder="1"/>
    <xf numFmtId="165" fontId="14" fillId="0" borderId="3" xfId="1" applyNumberFormat="1" applyFont="1" applyBorder="1"/>
    <xf numFmtId="0" fontId="15" fillId="0" borderId="20" xfId="0" applyFont="1" applyBorder="1"/>
    <xf numFmtId="0" fontId="0" fillId="11" borderId="0" xfId="0" applyFill="1"/>
    <xf numFmtId="0" fontId="0" fillId="2" borderId="0" xfId="0" applyFill="1"/>
    <xf numFmtId="0" fontId="31" fillId="0" borderId="22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9" fontId="0" fillId="0" borderId="0" xfId="2" applyFont="1" applyBorder="1"/>
    <xf numFmtId="43" fontId="0" fillId="0" borderId="20" xfId="0" applyNumberFormat="1" applyBorder="1"/>
    <xf numFmtId="9" fontId="0" fillId="0" borderId="20" xfId="2" applyFont="1" applyBorder="1"/>
    <xf numFmtId="0" fontId="31" fillId="0" borderId="16" xfId="0" applyFont="1" applyBorder="1"/>
    <xf numFmtId="0" fontId="32" fillId="0" borderId="22" xfId="0" applyFont="1" applyBorder="1"/>
    <xf numFmtId="43" fontId="0" fillId="0" borderId="0" xfId="1" applyFont="1" applyBorder="1"/>
    <xf numFmtId="1" fontId="3" fillId="0" borderId="25" xfId="0" applyNumberFormat="1" applyFont="1" applyBorder="1"/>
    <xf numFmtId="9" fontId="5" fillId="0" borderId="1" xfId="0" applyNumberFormat="1" applyFont="1" applyBorder="1" applyAlignment="1">
      <alignment horizontal="right"/>
    </xf>
    <xf numFmtId="0" fontId="37" fillId="12" borderId="0" xfId="0" applyFont="1" applyFill="1"/>
    <xf numFmtId="165" fontId="37" fillId="12" borderId="0" xfId="1" applyNumberFormat="1" applyFont="1" applyFill="1"/>
    <xf numFmtId="43" fontId="37" fillId="12" borderId="0" xfId="0" applyNumberFormat="1" applyFont="1" applyFill="1"/>
    <xf numFmtId="0" fontId="20" fillId="12" borderId="0" xfId="0" applyFont="1" applyFill="1"/>
    <xf numFmtId="0" fontId="20" fillId="12" borderId="0" xfId="0" applyFont="1" applyFill="1" applyBorder="1" applyAlignment="1">
      <alignment horizontal="left"/>
    </xf>
    <xf numFmtId="0" fontId="2" fillId="12" borderId="0" xfId="0" applyFont="1" applyFill="1"/>
    <xf numFmtId="0" fontId="0" fillId="12" borderId="0" xfId="0" applyFill="1"/>
    <xf numFmtId="0" fontId="16" fillId="12" borderId="0" xfId="0" applyFont="1" applyFill="1" applyAlignment="1">
      <alignment vertical="center"/>
    </xf>
    <xf numFmtId="43" fontId="25" fillId="0" borderId="0" xfId="0" applyNumberFormat="1" applyFont="1"/>
    <xf numFmtId="8" fontId="25" fillId="0" borderId="0" xfId="0" applyNumberFormat="1" applyFont="1"/>
    <xf numFmtId="166" fontId="30" fillId="0" borderId="23" xfId="2" applyNumberFormat="1" applyFont="1" applyBorder="1"/>
    <xf numFmtId="0" fontId="38" fillId="0" borderId="0" xfId="0" applyFont="1"/>
    <xf numFmtId="166" fontId="38" fillId="0" borderId="0" xfId="2" applyNumberFormat="1" applyFont="1" applyAlignment="1"/>
    <xf numFmtId="166" fontId="33" fillId="0" borderId="8" xfId="2" applyNumberFormat="1" applyFont="1" applyBorder="1" applyAlignment="1"/>
    <xf numFmtId="43" fontId="2" fillId="0" borderId="0" xfId="1" applyFont="1" applyAlignment="1"/>
    <xf numFmtId="43" fontId="33" fillId="0" borderId="0" xfId="0" applyNumberFormat="1" applyFont="1" applyBorder="1" applyAlignment="1"/>
    <xf numFmtId="43" fontId="2" fillId="0" borderId="0" xfId="0" applyNumberFormat="1" applyFont="1" applyBorder="1" applyAlignment="1"/>
    <xf numFmtId="43" fontId="15" fillId="0" borderId="27" xfId="0" applyNumberFormat="1" applyFont="1" applyBorder="1" applyAlignment="1"/>
    <xf numFmtId="0" fontId="5" fillId="0" borderId="1" xfId="0" applyNumberFormat="1" applyFont="1" applyBorder="1" applyAlignment="1">
      <alignment horizontal="right"/>
    </xf>
    <xf numFmtId="39" fontId="5" fillId="0" borderId="1" xfId="1" applyNumberFormat="1" applyFont="1" applyBorder="1" applyAlignment="1">
      <alignment horizontal="right"/>
    </xf>
    <xf numFmtId="165" fontId="8" fillId="0" borderId="5" xfId="1" applyNumberFormat="1" applyFont="1" applyBorder="1"/>
    <xf numFmtId="43" fontId="4" fillId="0" borderId="0" xfId="1" applyFont="1" applyBorder="1"/>
    <xf numFmtId="43" fontId="4" fillId="0" borderId="6" xfId="1" applyFont="1" applyBorder="1"/>
    <xf numFmtId="0" fontId="5" fillId="10" borderId="1" xfId="0" applyFont="1" applyFill="1" applyBorder="1"/>
    <xf numFmtId="10" fontId="0" fillId="10" borderId="20" xfId="0" applyNumberFormat="1" applyFill="1" applyBorder="1"/>
    <xf numFmtId="10" fontId="0" fillId="10" borderId="0" xfId="0" applyNumberFormat="1" applyFill="1" applyBorder="1"/>
    <xf numFmtId="166" fontId="0" fillId="10" borderId="0" xfId="0" applyNumberFormat="1" applyFill="1" applyBorder="1"/>
    <xf numFmtId="166" fontId="0" fillId="10" borderId="0" xfId="2" applyNumberFormat="1" applyFont="1" applyFill="1" applyBorder="1"/>
    <xf numFmtId="10" fontId="0" fillId="10" borderId="20" xfId="2" applyNumberFormat="1" applyFont="1" applyFill="1" applyBorder="1"/>
    <xf numFmtId="166" fontId="0" fillId="10" borderId="19" xfId="2" applyNumberFormat="1" applyFont="1" applyFill="1" applyBorder="1"/>
    <xf numFmtId="0" fontId="5" fillId="3" borderId="1" xfId="0" applyFont="1" applyFill="1" applyBorder="1"/>
    <xf numFmtId="0" fontId="3" fillId="12" borderId="8" xfId="0" applyFont="1" applyFill="1" applyBorder="1" applyAlignment="1">
      <alignment horizontal="right"/>
    </xf>
    <xf numFmtId="0" fontId="3" fillId="12" borderId="11" xfId="0" applyFont="1" applyFill="1" applyBorder="1" applyAlignment="1">
      <alignment horizontal="right"/>
    </xf>
    <xf numFmtId="0" fontId="39" fillId="0" borderId="1" xfId="0" applyFont="1" applyBorder="1"/>
    <xf numFmtId="0" fontId="3" fillId="12" borderId="0" xfId="0" applyFont="1" applyFill="1"/>
    <xf numFmtId="43" fontId="3" fillId="12" borderId="25" xfId="0" applyNumberFormat="1" applyFont="1" applyFill="1" applyBorder="1" applyAlignment="1"/>
    <xf numFmtId="43" fontId="3" fillId="12" borderId="26" xfId="0" applyNumberFormat="1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28" fillId="0" borderId="1" xfId="0" applyFont="1" applyBorder="1" applyAlignment="1">
      <alignment horizontal="left"/>
    </xf>
    <xf numFmtId="3" fontId="28" fillId="0" borderId="1" xfId="0" applyNumberFormat="1" applyFont="1" applyBorder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8" fillId="12" borderId="1" xfId="0" applyFont="1" applyFill="1" applyBorder="1" applyAlignment="1">
      <alignment horizontal="left"/>
    </xf>
    <xf numFmtId="3" fontId="28" fillId="12" borderId="1" xfId="0" applyNumberFormat="1" applyFont="1" applyFill="1" applyBorder="1" applyAlignment="1">
      <alignment horizontal="left"/>
    </xf>
    <xf numFmtId="0" fontId="10" fillId="7" borderId="0" xfId="0" applyFont="1" applyFill="1" applyAlignment="1">
      <alignment horizontal="center" vertic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FF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'!$A$26</c:f>
              <c:strCache>
                <c:ptCount val="1"/>
                <c:pt idx="0">
                  <c:v> Student Count 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KE" sz="9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'!$B$25:$F$25</c:f>
              <c:strCache>
                <c:ptCount val="5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'Dashboard '!$B$26:$F$26</c:f>
              <c:numCache>
                <c:formatCode>_-* #,##0_-;\-* #,##0_-;_-* "-"??_-;_-@_-</c:formatCode>
                <c:ptCount val="5"/>
                <c:pt idx="0">
                  <c:v>289</c:v>
                </c:pt>
                <c:pt idx="1">
                  <c:v>328.82283464566927</c:v>
                </c:pt>
                <c:pt idx="2">
                  <c:v>374.13306776613553</c:v>
                </c:pt>
                <c:pt idx="3">
                  <c:v>425.68683694650855</c:v>
                </c:pt>
                <c:pt idx="4">
                  <c:v>484.34447195882274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D-4771-ABE0-5C40590A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03759"/>
        <c:axId val="522114831"/>
      </c:lineChart>
      <c:catAx>
        <c:axId val="4465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KE" sz="10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KE"/>
          </a:p>
        </c:txPr>
        <c:crossAx val="522114831"/>
        <c:crosses val="autoZero"/>
        <c:auto val="1"/>
        <c:lblAlgn val="ctr"/>
        <c:lblOffset val="100"/>
        <c:noMultiLvlLbl val="0"/>
      </c:catAx>
      <c:valAx>
        <c:axId val="52211483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44650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Annual Expected School Fee per student </a:t>
            </a:r>
          </a:p>
        </c:rich>
      </c:tx>
      <c:layout>
        <c:manualLayout>
          <c:xMode val="edge"/>
          <c:yMode val="edge"/>
          <c:x val="0.29261783568766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'!$A$9</c:f>
              <c:strCache>
                <c:ptCount val="1"/>
                <c:pt idx="0">
                  <c:v>Annual Expected School Fee per student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'!$B$8:$G$8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'Dashboard '!$B$9:$G$9</c:f>
              <c:numCache>
                <c:formatCode>_-* #,##0_-;\-* #,##0_-;_-* "-"??_-;_-@_-</c:formatCode>
                <c:ptCount val="6"/>
                <c:pt idx="0">
                  <c:v>866596.88581314881</c:v>
                </c:pt>
                <c:pt idx="1">
                  <c:v>855552.87017346884</c:v>
                </c:pt>
                <c:pt idx="2">
                  <c:v>844649.60080630181</c:v>
                </c:pt>
                <c:pt idx="3">
                  <c:v>833885.28402410937</c:v>
                </c:pt>
                <c:pt idx="4">
                  <c:v>823258.14899832429</c:v>
                </c:pt>
                <c:pt idx="5">
                  <c:v>812766.44746803306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D-4D71-AC87-A4188B21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406431"/>
        <c:axId val="1229883919"/>
      </c:lineChart>
      <c:catAx>
        <c:axId val="7384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KE"/>
          </a:p>
        </c:txPr>
        <c:crossAx val="1229883919"/>
        <c:crosses val="autoZero"/>
        <c:auto val="1"/>
        <c:lblAlgn val="ctr"/>
        <c:lblOffset val="100"/>
        <c:noMultiLvlLbl val="0"/>
      </c:catAx>
      <c:valAx>
        <c:axId val="1229883919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7384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KE" sz="12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Gross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KE" sz="12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'!$L$8</c:f>
              <c:strCache>
                <c:ptCount val="1"/>
                <c:pt idx="0">
                  <c:v>Gross Income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KE"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'!$M$7:$R$7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'Dashboard '!$M$8:$R$8</c:f>
              <c:numCache>
                <c:formatCode>_-* #,##0_-;\-* #,##0_-;_-* "-"??_-;_-@_-</c:formatCode>
                <c:ptCount val="6"/>
                <c:pt idx="0">
                  <c:v>248990852.5</c:v>
                </c:pt>
                <c:pt idx="1">
                  <c:v>264335206.40598878</c:v>
                </c:pt>
                <c:pt idx="2">
                  <c:v>281486260.81736511</c:v>
                </c:pt>
                <c:pt idx="3">
                  <c:v>300667096.80675757</c:v>
                </c:pt>
                <c:pt idx="4">
                  <c:v>322134379.45981741</c:v>
                </c:pt>
                <c:pt idx="5">
                  <c:v>346183771.93275863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D-46CD-8111-C91EE050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227150431"/>
        <c:axId val="746762047"/>
      </c:barChart>
      <c:catAx>
        <c:axId val="122715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KE" sz="10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KE"/>
          </a:p>
        </c:txPr>
        <c:crossAx val="746762047"/>
        <c:crosses val="autoZero"/>
        <c:auto val="1"/>
        <c:lblAlgn val="ctr"/>
        <c:lblOffset val="100"/>
        <c:noMultiLvlLbl val="0"/>
      </c:catAx>
      <c:valAx>
        <c:axId val="746762047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22715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KE" sz="1000" b="1" i="0" u="none" strike="noStrike" kern="1200" baseline="0">
          <a:solidFill>
            <a:sysClr val="windowText" lastClr="000000"/>
          </a:solidFill>
          <a:latin typeface="Century Gothic" panose="020B0502020202020204" pitchFamily="34" charset="0"/>
          <a:ea typeface="+mn-ea"/>
          <a:cs typeface="+mn-cs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'!$L$26</c:f>
              <c:strCache>
                <c:ptCount val="1"/>
                <c:pt idx="0">
                  <c:v> Net Surplus/Loss before debt service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KE"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'!$M$25:$R$25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'Dashboard '!$M$26:$R$26</c:f>
              <c:numCache>
                <c:formatCode>_(* #,##0.00_);_(* \(#,##0.00\);_(* "-"??_);_(@_)</c:formatCode>
                <c:ptCount val="6"/>
                <c:pt idx="0">
                  <c:v>104335596.75</c:v>
                </c:pt>
                <c:pt idx="1">
                  <c:v>110788265.17649984</c:v>
                </c:pt>
                <c:pt idx="2">
                  <c:v>118387583.2091023</c:v>
                </c:pt>
                <c:pt idx="3">
                  <c:v>127296368.31089379</c:v>
                </c:pt>
                <c:pt idx="4">
                  <c:v>137700950.69361085</c:v>
                </c:pt>
                <c:pt idx="5">
                  <c:v>149814754.8029972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3B-8081-ABF42A17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738496943"/>
        <c:axId val="746750815"/>
      </c:barChart>
      <c:catAx>
        <c:axId val="7384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KE" sz="10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KE"/>
          </a:p>
        </c:txPr>
        <c:crossAx val="746750815"/>
        <c:crosses val="autoZero"/>
        <c:auto val="1"/>
        <c:lblAlgn val="ctr"/>
        <c:lblOffset val="100"/>
        <c:noMultiLvlLbl val="0"/>
      </c:catAx>
      <c:valAx>
        <c:axId val="746750815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73849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'!$A$45</c:f>
              <c:strCache>
                <c:ptCount val="1"/>
                <c:pt idx="0">
                  <c:v>Maximum Loan Eligibility By Cashflows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KE" sz="9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'!$B$44:$G$44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'Dashboard '!$B$45:$G$45</c:f>
              <c:numCache>
                <c:formatCode>_-* #,##0_-;\-* #,##0_-;_-* "-"??_-;_-@_-</c:formatCode>
                <c:ptCount val="6"/>
                <c:pt idx="0">
                  <c:v>111963969.16312234</c:v>
                </c:pt>
                <c:pt idx="1">
                  <c:v>7247178.3461814299</c:v>
                </c:pt>
                <c:pt idx="2">
                  <c:v>5586444.8398878798</c:v>
                </c:pt>
                <c:pt idx="3">
                  <c:v>3232763.7113274769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1-4444-809A-07C0BCDD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11759"/>
        <c:axId val="1229881423"/>
      </c:lineChart>
      <c:catAx>
        <c:axId val="4648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KE" sz="10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KE"/>
          </a:p>
        </c:txPr>
        <c:crossAx val="1229881423"/>
        <c:crosses val="autoZero"/>
        <c:auto val="1"/>
        <c:lblAlgn val="ctr"/>
        <c:lblOffset val="100"/>
        <c:noMultiLvlLbl val="0"/>
      </c:catAx>
      <c:valAx>
        <c:axId val="1229881423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4648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157232</xdr:rowOff>
    </xdr:from>
    <xdr:to>
      <xdr:col>7</xdr:col>
      <xdr:colOff>0</xdr:colOff>
      <xdr:row>41</xdr:row>
      <xdr:rowOff>13804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48307-E16E-43F6-831C-FC97E397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14702</xdr:rowOff>
    </xdr:from>
    <xdr:to>
      <xdr:col>7</xdr:col>
      <xdr:colOff>179456</xdr:colOff>
      <xdr:row>22</xdr:row>
      <xdr:rowOff>13805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C9F3F-D08A-482A-B8E6-F6BC5C5DE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543450</xdr:colOff>
      <xdr:row>5</xdr:row>
      <xdr:rowOff>42985</xdr:rowOff>
    </xdr:from>
    <xdr:to>
      <xdr:col>18</xdr:col>
      <xdr:colOff>69021</xdr:colOff>
      <xdr:row>20</xdr:row>
      <xdr:rowOff>173181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A8BA4-8EF6-4D4D-91E0-1F2A6F3D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510761</xdr:colOff>
      <xdr:row>23</xdr:row>
      <xdr:rowOff>81003</xdr:rowOff>
    </xdr:from>
    <xdr:to>
      <xdr:col>18</xdr:col>
      <xdr:colOff>124238</xdr:colOff>
      <xdr:row>40</xdr:row>
      <xdr:rowOff>92178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548795-F560-4385-81F6-24087BDB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8536</xdr:colOff>
      <xdr:row>42</xdr:row>
      <xdr:rowOff>154091</xdr:rowOff>
    </xdr:from>
    <xdr:to>
      <xdr:col>7</xdr:col>
      <xdr:colOff>27609</xdr:colOff>
      <xdr:row>59</xdr:row>
      <xdr:rowOff>151847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828F04-9680-44E3-87E3-43E1BB88E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fdb.org/en/countries-east-africa-kenya/kenya-economic-outlook" TargetMode="External"/><Relationship Id="rId3" Type="http://schemas.openxmlformats.org/officeDocument/2006/relationships/hyperlink" Target="https://www.afdb.org/en/countries-east-africa-kenya/kenya-economic-outlook" TargetMode="External"/><Relationship Id="rId7" Type="http://schemas.openxmlformats.org/officeDocument/2006/relationships/hyperlink" Target="https://tradingeconomics.com/kenya/unemployment-rate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tradingeconomics.com/kenya/unemployment-rate" TargetMode="External"/><Relationship Id="rId1" Type="http://schemas.openxmlformats.org/officeDocument/2006/relationships/hyperlink" Target="https://www.afdb.org/en/countries-east-africa-kenya/kenya-economic-outlook" TargetMode="External"/><Relationship Id="rId6" Type="http://schemas.openxmlformats.org/officeDocument/2006/relationships/hyperlink" Target="https://tradingeconomics.com/kenya/unemployment-rate" TargetMode="External"/><Relationship Id="rId11" Type="http://schemas.openxmlformats.org/officeDocument/2006/relationships/hyperlink" Target="https://tradingeconomics.com/kenya/interest-rate" TargetMode="External"/><Relationship Id="rId5" Type="http://schemas.openxmlformats.org/officeDocument/2006/relationships/hyperlink" Target="https://www.centralbank.go.ke/annual-gdp/" TargetMode="External"/><Relationship Id="rId10" Type="http://schemas.openxmlformats.org/officeDocument/2006/relationships/hyperlink" Target="https://tradingeconomics.com/kenya/interest-rate" TargetMode="External"/><Relationship Id="rId4" Type="http://schemas.openxmlformats.org/officeDocument/2006/relationships/hyperlink" Target="https://www.treasury.go.ke/wp-content/uploads/2022/08/NOTICE-ON-PRICE-STABILITY-TARGET.pdf" TargetMode="External"/><Relationship Id="rId9" Type="http://schemas.openxmlformats.org/officeDocument/2006/relationships/hyperlink" Target="https://www.afdb.org/en/countries-east-africa-kenya/kenya-economic-outloo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487D-061D-40CE-A742-3355C5D575DE}">
  <dimension ref="B1:F29"/>
  <sheetViews>
    <sheetView workbookViewId="0">
      <selection activeCell="C1" sqref="C1:F1"/>
    </sheetView>
  </sheetViews>
  <sheetFormatPr defaultRowHeight="13.5" x14ac:dyDescent="0.25"/>
  <cols>
    <col min="1" max="1" width="9.140625" style="3" customWidth="1"/>
    <col min="2" max="2" width="41" style="3" customWidth="1"/>
    <col min="3" max="3" width="17" style="3" customWidth="1"/>
    <col min="4" max="4" width="15" style="3" bestFit="1" customWidth="1"/>
    <col min="5" max="5" width="14.5703125" style="3" bestFit="1" customWidth="1"/>
    <col min="6" max="16384" width="9.140625" style="3"/>
  </cols>
  <sheetData>
    <row r="1" spans="2:6" x14ac:dyDescent="0.25">
      <c r="B1" s="101" t="s">
        <v>186</v>
      </c>
      <c r="C1" s="234" t="s">
        <v>189</v>
      </c>
      <c r="D1" s="234"/>
      <c r="E1" s="234"/>
      <c r="F1" s="235"/>
    </row>
    <row r="2" spans="2:6" x14ac:dyDescent="0.25">
      <c r="B2" s="101" t="s">
        <v>187</v>
      </c>
      <c r="C2" s="234" t="s">
        <v>191</v>
      </c>
      <c r="D2" s="234"/>
      <c r="E2" s="234"/>
      <c r="F2" s="235"/>
    </row>
    <row r="3" spans="2:6" x14ac:dyDescent="0.25">
      <c r="B3" s="101" t="s">
        <v>188</v>
      </c>
      <c r="C3" s="234" t="s">
        <v>190</v>
      </c>
      <c r="D3" s="234"/>
      <c r="E3" s="234"/>
      <c r="F3" s="235"/>
    </row>
    <row r="4" spans="2:6" ht="14.25" thickBot="1" x14ac:dyDescent="0.3">
      <c r="B4" s="102" t="s">
        <v>108</v>
      </c>
      <c r="C4" s="236">
        <v>150000000</v>
      </c>
      <c r="D4" s="237"/>
      <c r="E4" s="237"/>
      <c r="F4" s="238"/>
    </row>
    <row r="5" spans="2:6" s="26" customFormat="1" x14ac:dyDescent="0.25">
      <c r="B5" s="105"/>
      <c r="C5" s="106"/>
      <c r="D5" s="106"/>
      <c r="E5" s="106"/>
      <c r="F5" s="106"/>
    </row>
    <row r="6" spans="2:6" s="26" customFormat="1" x14ac:dyDescent="0.25"/>
    <row r="7" spans="2:6" x14ac:dyDescent="0.25">
      <c r="B7" s="239" t="s">
        <v>105</v>
      </c>
      <c r="C7" s="239"/>
      <c r="D7" s="239"/>
    </row>
    <row r="8" spans="2:6" x14ac:dyDescent="0.25">
      <c r="B8" s="97" t="s">
        <v>49</v>
      </c>
      <c r="C8" s="97" t="s">
        <v>50</v>
      </c>
      <c r="D8" s="97" t="s">
        <v>59</v>
      </c>
    </row>
    <row r="9" spans="2:6" x14ac:dyDescent="0.25">
      <c r="B9" s="96" t="s">
        <v>63</v>
      </c>
      <c r="C9" s="98">
        <v>250000000</v>
      </c>
      <c r="D9" s="98">
        <f>C9</f>
        <v>250000000</v>
      </c>
    </row>
    <row r="10" spans="2:6" x14ac:dyDescent="0.25">
      <c r="B10" s="96"/>
      <c r="C10" s="98"/>
      <c r="D10" s="98">
        <f t="shared" ref="D10:D14" si="0">C10</f>
        <v>0</v>
      </c>
    </row>
    <row r="11" spans="2:6" x14ac:dyDescent="0.25">
      <c r="B11" s="96"/>
      <c r="C11" s="98"/>
      <c r="D11" s="98">
        <f t="shared" si="0"/>
        <v>0</v>
      </c>
    </row>
    <row r="12" spans="2:6" x14ac:dyDescent="0.25">
      <c r="B12" s="96"/>
      <c r="C12" s="98"/>
      <c r="D12" s="98">
        <f t="shared" si="0"/>
        <v>0</v>
      </c>
    </row>
    <row r="13" spans="2:6" x14ac:dyDescent="0.25">
      <c r="B13" s="96"/>
      <c r="C13" s="98"/>
      <c r="D13" s="98">
        <f t="shared" si="0"/>
        <v>0</v>
      </c>
    </row>
    <row r="14" spans="2:6" x14ac:dyDescent="0.25">
      <c r="B14" s="96"/>
      <c r="C14" s="98"/>
      <c r="D14" s="98">
        <f t="shared" si="0"/>
        <v>0</v>
      </c>
    </row>
    <row r="15" spans="2:6" x14ac:dyDescent="0.25">
      <c r="B15" s="96" t="s">
        <v>51</v>
      </c>
      <c r="C15" s="99"/>
      <c r="D15" s="98">
        <f>SUM(D9:D14)</f>
        <v>250000000</v>
      </c>
    </row>
    <row r="16" spans="2:6" x14ac:dyDescent="0.25">
      <c r="B16" s="96" t="s">
        <v>48</v>
      </c>
      <c r="C16" s="216">
        <v>-100000000</v>
      </c>
      <c r="D16" s="216">
        <f>C16</f>
        <v>-100000000</v>
      </c>
    </row>
    <row r="17" spans="2:4" x14ac:dyDescent="0.25">
      <c r="B17" s="96" t="s">
        <v>52</v>
      </c>
      <c r="C17" s="99"/>
      <c r="D17" s="100">
        <f>SUM(D15:D16)</f>
        <v>150000000</v>
      </c>
    </row>
    <row r="18" spans="2:4" x14ac:dyDescent="0.25">
      <c r="B18" s="96" t="s">
        <v>175</v>
      </c>
      <c r="C18" s="196">
        <v>7.0000000000000007E-2</v>
      </c>
      <c r="D18" s="100"/>
    </row>
    <row r="19" spans="2:4" x14ac:dyDescent="0.25">
      <c r="B19" s="96" t="s">
        <v>192</v>
      </c>
      <c r="C19" s="215">
        <v>0</v>
      </c>
      <c r="D19" s="100"/>
    </row>
    <row r="20" spans="2:4" x14ac:dyDescent="0.25">
      <c r="B20" s="96" t="s">
        <v>62</v>
      </c>
      <c r="C20" s="99">
        <v>48</v>
      </c>
      <c r="D20" s="99"/>
    </row>
    <row r="23" spans="2:4" x14ac:dyDescent="0.25">
      <c r="B23" s="239" t="s">
        <v>106</v>
      </c>
      <c r="C23" s="239"/>
    </row>
    <row r="24" spans="2:4" x14ac:dyDescent="0.25">
      <c r="B24" s="96" t="s">
        <v>72</v>
      </c>
      <c r="C24" s="103" t="s">
        <v>73</v>
      </c>
    </row>
    <row r="25" spans="2:4" x14ac:dyDescent="0.25">
      <c r="B25" s="96" t="s">
        <v>78</v>
      </c>
      <c r="C25" s="220" t="s">
        <v>79</v>
      </c>
    </row>
    <row r="26" spans="2:4" x14ac:dyDescent="0.25">
      <c r="B26" s="96" t="s">
        <v>74</v>
      </c>
      <c r="C26" s="96" t="s">
        <v>75</v>
      </c>
    </row>
    <row r="27" spans="2:4" x14ac:dyDescent="0.25">
      <c r="B27" s="96" t="s">
        <v>76</v>
      </c>
      <c r="C27" s="104" t="s">
        <v>77</v>
      </c>
    </row>
    <row r="28" spans="2:4" x14ac:dyDescent="0.25">
      <c r="B28" s="96" t="s">
        <v>87</v>
      </c>
      <c r="C28" s="227" t="s">
        <v>88</v>
      </c>
    </row>
    <row r="29" spans="2:4" x14ac:dyDescent="0.25">
      <c r="B29" s="96" t="s">
        <v>197</v>
      </c>
      <c r="C29" s="230" t="s">
        <v>198</v>
      </c>
    </row>
  </sheetData>
  <mergeCells count="6">
    <mergeCell ref="C1:F1"/>
    <mergeCell ref="C4:F4"/>
    <mergeCell ref="B7:D7"/>
    <mergeCell ref="B23:C23"/>
    <mergeCell ref="C2:F2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C0EC-2362-4AC8-8727-5769E655CAAA}">
  <dimension ref="B1:AF51"/>
  <sheetViews>
    <sheetView topLeftCell="A34" workbookViewId="0">
      <selection activeCell="G48" sqref="G47:G48"/>
    </sheetView>
  </sheetViews>
  <sheetFormatPr defaultRowHeight="15" x14ac:dyDescent="0.25"/>
  <cols>
    <col min="1" max="1" width="4.85546875" customWidth="1"/>
    <col min="2" max="2" width="35" customWidth="1"/>
    <col min="3" max="3" width="15" bestFit="1" customWidth="1"/>
    <col min="4" max="4" width="15.28515625" bestFit="1" customWidth="1"/>
    <col min="5" max="5" width="9.5703125" bestFit="1" customWidth="1"/>
    <col min="6" max="6" width="18.7109375" bestFit="1" customWidth="1"/>
    <col min="7" max="7" width="12.85546875" bestFit="1" customWidth="1"/>
    <col min="8" max="9" width="11.28515625" bestFit="1" customWidth="1"/>
    <col min="10" max="10" width="16.7109375" bestFit="1" customWidth="1"/>
    <col min="11" max="13" width="10.85546875" bestFit="1" customWidth="1"/>
    <col min="15" max="15" width="10.140625" bestFit="1" customWidth="1"/>
    <col min="16" max="17" width="10.85546875" bestFit="1" customWidth="1"/>
    <col min="18" max="18" width="13.140625" customWidth="1"/>
    <col min="19" max="21" width="10.85546875" bestFit="1" customWidth="1"/>
    <col min="22" max="22" width="10.85546875" customWidth="1"/>
    <col min="23" max="25" width="10.85546875" bestFit="1" customWidth="1"/>
    <col min="26" max="26" width="10.85546875" customWidth="1"/>
    <col min="27" max="29" width="10.85546875" bestFit="1" customWidth="1"/>
    <col min="30" max="30" width="11.5703125" customWidth="1"/>
  </cols>
  <sheetData>
    <row r="1" spans="2:32" x14ac:dyDescent="0.25">
      <c r="B1" s="110" t="s">
        <v>107</v>
      </c>
      <c r="C1" s="240" t="str">
        <f>'Cover Page'!C1:F1</f>
        <v>XYZ International School</v>
      </c>
      <c r="D1" s="240"/>
      <c r="E1" s="240"/>
    </row>
    <row r="2" spans="2:32" x14ac:dyDescent="0.25">
      <c r="B2" s="110" t="s">
        <v>108</v>
      </c>
      <c r="C2" s="241">
        <f>'Cover Page'!C4:F4</f>
        <v>150000000</v>
      </c>
      <c r="D2" s="240"/>
      <c r="E2" s="240"/>
    </row>
    <row r="4" spans="2:32" x14ac:dyDescent="0.25">
      <c r="B4" s="242" t="s">
        <v>71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</row>
    <row r="5" spans="2:32" x14ac:dyDescent="0.25"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</row>
    <row r="6" spans="2:32" x14ac:dyDescent="0.25">
      <c r="B6" s="67" t="s">
        <v>0</v>
      </c>
      <c r="C6" s="243" t="s">
        <v>14</v>
      </c>
      <c r="D6" s="243"/>
      <c r="E6" s="243"/>
      <c r="F6" s="243"/>
      <c r="G6" s="243" t="s">
        <v>15</v>
      </c>
      <c r="H6" s="243"/>
      <c r="I6" s="243"/>
      <c r="J6" s="243"/>
      <c r="K6" s="244" t="s">
        <v>16</v>
      </c>
      <c r="L6" s="245"/>
      <c r="M6" s="245"/>
      <c r="N6" s="246"/>
      <c r="O6" s="244" t="s">
        <v>18</v>
      </c>
      <c r="P6" s="245"/>
      <c r="Q6" s="245"/>
      <c r="R6" s="246"/>
      <c r="S6" s="244" t="s">
        <v>19</v>
      </c>
      <c r="T6" s="245"/>
      <c r="U6" s="245"/>
      <c r="V6" s="246"/>
      <c r="W6" s="247" t="s">
        <v>17</v>
      </c>
      <c r="X6" s="248"/>
      <c r="Y6" s="248"/>
      <c r="Z6" s="249"/>
      <c r="AA6" s="244" t="s">
        <v>21</v>
      </c>
      <c r="AB6" s="245"/>
      <c r="AC6" s="245"/>
      <c r="AD6" s="246"/>
      <c r="AE6" s="4"/>
      <c r="AF6" s="4"/>
    </row>
    <row r="7" spans="2:32" ht="63.75" x14ac:dyDescent="0.25">
      <c r="B7" s="9"/>
      <c r="C7" s="11" t="s">
        <v>20</v>
      </c>
      <c r="D7" s="12" t="s">
        <v>16</v>
      </c>
      <c r="E7" s="12" t="s">
        <v>17</v>
      </c>
      <c r="F7" s="13" t="s">
        <v>21</v>
      </c>
      <c r="G7" s="11" t="s">
        <v>193</v>
      </c>
      <c r="H7" s="12" t="s">
        <v>194</v>
      </c>
      <c r="I7" s="12" t="s">
        <v>195</v>
      </c>
      <c r="J7" s="13" t="s">
        <v>65</v>
      </c>
      <c r="K7" s="11" t="s">
        <v>193</v>
      </c>
      <c r="L7" s="12" t="s">
        <v>194</v>
      </c>
      <c r="M7" s="12" t="s">
        <v>195</v>
      </c>
      <c r="N7" s="15" t="s">
        <v>68</v>
      </c>
      <c r="O7" s="11" t="s">
        <v>193</v>
      </c>
      <c r="P7" s="12" t="s">
        <v>194</v>
      </c>
      <c r="Q7" s="12" t="s">
        <v>195</v>
      </c>
      <c r="R7" s="15" t="s">
        <v>67</v>
      </c>
      <c r="S7" s="11" t="s">
        <v>193</v>
      </c>
      <c r="T7" s="12" t="s">
        <v>194</v>
      </c>
      <c r="U7" s="12" t="s">
        <v>195</v>
      </c>
      <c r="V7" s="15" t="s">
        <v>66</v>
      </c>
      <c r="W7" s="11" t="s">
        <v>193</v>
      </c>
      <c r="X7" s="12" t="s">
        <v>194</v>
      </c>
      <c r="Y7" s="12" t="s">
        <v>195</v>
      </c>
      <c r="Z7" s="15" t="s">
        <v>69</v>
      </c>
      <c r="AA7" s="11" t="s">
        <v>193</v>
      </c>
      <c r="AB7" s="12" t="s">
        <v>194</v>
      </c>
      <c r="AC7" s="12" t="s">
        <v>195</v>
      </c>
      <c r="AD7" s="15" t="s">
        <v>70</v>
      </c>
      <c r="AE7" s="9"/>
      <c r="AF7" s="9"/>
    </row>
    <row r="8" spans="2:32" x14ac:dyDescent="0.25">
      <c r="B8" s="3" t="s">
        <v>1</v>
      </c>
      <c r="C8" s="21">
        <v>15</v>
      </c>
      <c r="D8" s="22"/>
      <c r="E8" s="22">
        <v>0</v>
      </c>
      <c r="F8" s="23">
        <v>0</v>
      </c>
      <c r="G8" s="21">
        <v>188000</v>
      </c>
      <c r="H8" s="21">
        <v>179000</v>
      </c>
      <c r="I8" s="145">
        <v>179000</v>
      </c>
      <c r="J8" s="14">
        <f>C8*(G8+H8+I8)</f>
        <v>8190000</v>
      </c>
      <c r="K8" s="21">
        <v>0</v>
      </c>
      <c r="L8" s="22">
        <v>0</v>
      </c>
      <c r="M8" s="22">
        <v>0</v>
      </c>
      <c r="N8" s="14">
        <f>D8*(K8+L8+M8)</f>
        <v>0</v>
      </c>
      <c r="O8" s="21">
        <v>0</v>
      </c>
      <c r="P8" s="22">
        <v>0</v>
      </c>
      <c r="Q8" s="22">
        <v>0</v>
      </c>
      <c r="R8" s="14">
        <f>C8*(O8+P8+Q8)</f>
        <v>0</v>
      </c>
      <c r="S8" s="21">
        <v>0</v>
      </c>
      <c r="T8" s="22">
        <v>0</v>
      </c>
      <c r="U8" s="22">
        <v>0</v>
      </c>
      <c r="V8" s="14">
        <f>C8*(S8+T8+U8)</f>
        <v>0</v>
      </c>
      <c r="W8" s="21">
        <v>0</v>
      </c>
      <c r="X8" s="22">
        <v>0</v>
      </c>
      <c r="Y8" s="22">
        <v>0</v>
      </c>
      <c r="Z8" s="14">
        <f>E8*(W8+X8+Y8)</f>
        <v>0</v>
      </c>
      <c r="AA8" s="21">
        <v>0</v>
      </c>
      <c r="AB8" s="22">
        <v>0</v>
      </c>
      <c r="AC8" s="22">
        <v>0</v>
      </c>
      <c r="AD8" s="14">
        <f>F8*(AA8+AB8+AC8)</f>
        <v>0</v>
      </c>
      <c r="AE8" s="3"/>
      <c r="AF8" s="3"/>
    </row>
    <row r="9" spans="2:32" x14ac:dyDescent="0.25">
      <c r="B9" s="3" t="s">
        <v>2</v>
      </c>
      <c r="C9" s="21">
        <v>26</v>
      </c>
      <c r="D9" s="22"/>
      <c r="E9" s="22">
        <v>0</v>
      </c>
      <c r="F9" s="23">
        <v>0</v>
      </c>
      <c r="G9" s="21">
        <v>188000</v>
      </c>
      <c r="H9" s="21">
        <v>179000</v>
      </c>
      <c r="I9" s="145">
        <v>179000</v>
      </c>
      <c r="J9" s="14">
        <f t="shared" ref="J9:J19" si="0">C9*(G9+H9+I9)</f>
        <v>14196000</v>
      </c>
      <c r="K9" s="21">
        <v>0</v>
      </c>
      <c r="L9" s="22">
        <v>0</v>
      </c>
      <c r="M9" s="22">
        <v>0</v>
      </c>
      <c r="N9" s="14">
        <f t="shared" ref="N9:N18" si="1">D9*(K9+L9+M9)</f>
        <v>0</v>
      </c>
      <c r="O9" s="21">
        <v>0</v>
      </c>
      <c r="P9" s="22">
        <v>0</v>
      </c>
      <c r="Q9" s="22">
        <v>0</v>
      </c>
      <c r="R9" s="14">
        <f t="shared" ref="R9:R18" si="2">C9*(O9+P9+Q9)</f>
        <v>0</v>
      </c>
      <c r="S9" s="21">
        <v>0</v>
      </c>
      <c r="T9" s="22">
        <v>0</v>
      </c>
      <c r="U9" s="22">
        <v>0</v>
      </c>
      <c r="V9" s="14">
        <f t="shared" ref="V9:V18" si="3">C9*(S9+T9+U9)</f>
        <v>0</v>
      </c>
      <c r="W9" s="21">
        <v>0</v>
      </c>
      <c r="X9" s="22">
        <v>0</v>
      </c>
      <c r="Y9" s="22">
        <v>0</v>
      </c>
      <c r="Z9" s="14">
        <f t="shared" ref="Z9:Z18" si="4">E9*(W9+X9+Y9)</f>
        <v>0</v>
      </c>
      <c r="AA9" s="21">
        <v>0</v>
      </c>
      <c r="AB9" s="22">
        <v>0</v>
      </c>
      <c r="AC9" s="22">
        <v>0</v>
      </c>
      <c r="AD9" s="14">
        <f t="shared" ref="AD9:AD18" si="5">F9*(AA9+AB9+AC9)</f>
        <v>0</v>
      </c>
      <c r="AE9" s="3"/>
      <c r="AF9" s="3"/>
    </row>
    <row r="10" spans="2:32" x14ac:dyDescent="0.25">
      <c r="B10" s="3" t="s">
        <v>3</v>
      </c>
      <c r="C10" s="21">
        <v>22</v>
      </c>
      <c r="D10" s="22"/>
      <c r="E10" s="22">
        <v>0</v>
      </c>
      <c r="F10" s="23">
        <v>0</v>
      </c>
      <c r="G10" s="21">
        <v>235000</v>
      </c>
      <c r="H10" s="21">
        <v>220000</v>
      </c>
      <c r="I10" s="145">
        <v>200000</v>
      </c>
      <c r="J10" s="14">
        <f t="shared" si="0"/>
        <v>14410000</v>
      </c>
      <c r="K10" s="21">
        <v>0</v>
      </c>
      <c r="L10" s="22">
        <v>0</v>
      </c>
      <c r="M10" s="22">
        <v>0</v>
      </c>
      <c r="N10" s="14">
        <f t="shared" si="1"/>
        <v>0</v>
      </c>
      <c r="O10" s="21">
        <v>0</v>
      </c>
      <c r="P10" s="22">
        <v>0</v>
      </c>
      <c r="Q10" s="22">
        <v>0</v>
      </c>
      <c r="R10" s="14">
        <f t="shared" si="2"/>
        <v>0</v>
      </c>
      <c r="S10" s="21">
        <v>0</v>
      </c>
      <c r="T10" s="22">
        <v>0</v>
      </c>
      <c r="U10" s="22">
        <v>0</v>
      </c>
      <c r="V10" s="14">
        <f t="shared" si="3"/>
        <v>0</v>
      </c>
      <c r="W10" s="21">
        <v>0</v>
      </c>
      <c r="X10" s="22">
        <v>0</v>
      </c>
      <c r="Y10" s="22">
        <v>0</v>
      </c>
      <c r="Z10" s="14">
        <f t="shared" si="4"/>
        <v>0</v>
      </c>
      <c r="AA10" s="21">
        <v>0</v>
      </c>
      <c r="AB10" s="22">
        <v>0</v>
      </c>
      <c r="AC10" s="22">
        <v>0</v>
      </c>
      <c r="AD10" s="14">
        <f t="shared" si="5"/>
        <v>0</v>
      </c>
      <c r="AE10" s="3"/>
      <c r="AF10" s="3"/>
    </row>
    <row r="11" spans="2:32" x14ac:dyDescent="0.25">
      <c r="B11" s="3" t="s">
        <v>4</v>
      </c>
      <c r="C11" s="21">
        <v>30</v>
      </c>
      <c r="D11" s="22"/>
      <c r="E11" s="22">
        <v>0</v>
      </c>
      <c r="F11" s="23">
        <v>0</v>
      </c>
      <c r="G11" s="21">
        <v>235000</v>
      </c>
      <c r="H11" s="21">
        <v>220000</v>
      </c>
      <c r="I11" s="145">
        <v>200000</v>
      </c>
      <c r="J11" s="14">
        <f t="shared" si="0"/>
        <v>19650000</v>
      </c>
      <c r="K11" s="21">
        <v>0</v>
      </c>
      <c r="L11" s="22">
        <v>0</v>
      </c>
      <c r="M11" s="22">
        <v>0</v>
      </c>
      <c r="N11" s="14">
        <f t="shared" si="1"/>
        <v>0</v>
      </c>
      <c r="O11" s="21">
        <v>0</v>
      </c>
      <c r="P11" s="22">
        <v>0</v>
      </c>
      <c r="Q11" s="22">
        <v>0</v>
      </c>
      <c r="R11" s="14">
        <f t="shared" si="2"/>
        <v>0</v>
      </c>
      <c r="S11" s="21">
        <v>0</v>
      </c>
      <c r="T11" s="22">
        <v>0</v>
      </c>
      <c r="U11" s="22">
        <v>0</v>
      </c>
      <c r="V11" s="14">
        <f t="shared" si="3"/>
        <v>0</v>
      </c>
      <c r="W11" s="21">
        <v>0</v>
      </c>
      <c r="X11" s="22">
        <v>0</v>
      </c>
      <c r="Y11" s="22">
        <v>0</v>
      </c>
      <c r="Z11" s="14">
        <f t="shared" si="4"/>
        <v>0</v>
      </c>
      <c r="AA11" s="21">
        <v>0</v>
      </c>
      <c r="AB11" s="22">
        <v>0</v>
      </c>
      <c r="AC11" s="22">
        <v>0</v>
      </c>
      <c r="AD11" s="14">
        <f t="shared" si="5"/>
        <v>0</v>
      </c>
      <c r="AE11" s="3"/>
      <c r="AF11" s="3"/>
    </row>
    <row r="12" spans="2:32" x14ac:dyDescent="0.25">
      <c r="B12" s="3" t="s">
        <v>5</v>
      </c>
      <c r="C12" s="21">
        <v>25</v>
      </c>
      <c r="D12" s="22"/>
      <c r="E12" s="22">
        <v>0</v>
      </c>
      <c r="F12" s="23">
        <v>0</v>
      </c>
      <c r="G12" s="21">
        <v>255000</v>
      </c>
      <c r="H12" s="21">
        <v>235500</v>
      </c>
      <c r="I12" s="145">
        <v>220000</v>
      </c>
      <c r="J12" s="14">
        <f t="shared" si="0"/>
        <v>17762500</v>
      </c>
      <c r="K12" s="21">
        <v>0</v>
      </c>
      <c r="L12" s="22">
        <v>0</v>
      </c>
      <c r="M12" s="22">
        <v>0</v>
      </c>
      <c r="N12" s="14">
        <f t="shared" si="1"/>
        <v>0</v>
      </c>
      <c r="O12" s="21">
        <v>0</v>
      </c>
      <c r="P12" s="22">
        <v>0</v>
      </c>
      <c r="Q12" s="22">
        <v>0</v>
      </c>
      <c r="R12" s="14">
        <f t="shared" si="2"/>
        <v>0</v>
      </c>
      <c r="S12" s="21">
        <v>0</v>
      </c>
      <c r="T12" s="22">
        <v>0</v>
      </c>
      <c r="U12" s="22">
        <v>0</v>
      </c>
      <c r="V12" s="14">
        <f t="shared" si="3"/>
        <v>0</v>
      </c>
      <c r="W12" s="21">
        <v>0</v>
      </c>
      <c r="X12" s="22">
        <v>0</v>
      </c>
      <c r="Y12" s="22">
        <v>0</v>
      </c>
      <c r="Z12" s="14">
        <f t="shared" si="4"/>
        <v>0</v>
      </c>
      <c r="AA12" s="21">
        <v>0</v>
      </c>
      <c r="AB12" s="22">
        <v>0</v>
      </c>
      <c r="AC12" s="22">
        <v>0</v>
      </c>
      <c r="AD12" s="14">
        <f t="shared" si="5"/>
        <v>0</v>
      </c>
      <c r="AE12" s="3"/>
      <c r="AF12" s="3"/>
    </row>
    <row r="13" spans="2:32" x14ac:dyDescent="0.25">
      <c r="B13" s="3" t="s">
        <v>6</v>
      </c>
      <c r="C13" s="21">
        <v>15</v>
      </c>
      <c r="D13" s="22"/>
      <c r="E13" s="22">
        <v>0</v>
      </c>
      <c r="F13" s="23">
        <v>0</v>
      </c>
      <c r="G13" s="21">
        <v>255000</v>
      </c>
      <c r="H13" s="21">
        <v>235500</v>
      </c>
      <c r="I13" s="145">
        <v>220000</v>
      </c>
      <c r="J13" s="14">
        <f t="shared" si="0"/>
        <v>10657500</v>
      </c>
      <c r="K13" s="21">
        <v>0</v>
      </c>
      <c r="L13" s="22">
        <v>0</v>
      </c>
      <c r="M13" s="22">
        <v>0</v>
      </c>
      <c r="N13" s="14">
        <f t="shared" si="1"/>
        <v>0</v>
      </c>
      <c r="O13" s="21">
        <v>0</v>
      </c>
      <c r="P13" s="22">
        <v>0</v>
      </c>
      <c r="Q13" s="22">
        <v>0</v>
      </c>
      <c r="R13" s="14">
        <f t="shared" si="2"/>
        <v>0</v>
      </c>
      <c r="S13" s="21">
        <v>0</v>
      </c>
      <c r="T13" s="22">
        <v>0</v>
      </c>
      <c r="U13" s="22">
        <v>0</v>
      </c>
      <c r="V13" s="14">
        <f t="shared" si="3"/>
        <v>0</v>
      </c>
      <c r="W13" s="21">
        <v>0</v>
      </c>
      <c r="X13" s="22">
        <v>0</v>
      </c>
      <c r="Y13" s="22">
        <v>0</v>
      </c>
      <c r="Z13" s="14">
        <f t="shared" si="4"/>
        <v>0</v>
      </c>
      <c r="AA13" s="21">
        <v>0</v>
      </c>
      <c r="AB13" s="22">
        <v>0</v>
      </c>
      <c r="AC13" s="22">
        <v>0</v>
      </c>
      <c r="AD13" s="14">
        <f t="shared" si="5"/>
        <v>0</v>
      </c>
      <c r="AE13" s="3"/>
      <c r="AF13" s="3"/>
    </row>
    <row r="14" spans="2:32" x14ac:dyDescent="0.25">
      <c r="B14" s="3" t="s">
        <v>7</v>
      </c>
      <c r="C14" s="21">
        <v>19</v>
      </c>
      <c r="D14" s="22"/>
      <c r="E14" s="22">
        <v>0</v>
      </c>
      <c r="F14" s="23">
        <v>0</v>
      </c>
      <c r="G14" s="21">
        <v>255000</v>
      </c>
      <c r="H14" s="21">
        <v>235500</v>
      </c>
      <c r="I14" s="145">
        <v>220000</v>
      </c>
      <c r="J14" s="14">
        <f t="shared" si="0"/>
        <v>13499500</v>
      </c>
      <c r="K14" s="21">
        <v>0</v>
      </c>
      <c r="L14" s="22">
        <v>0</v>
      </c>
      <c r="M14" s="22">
        <v>0</v>
      </c>
      <c r="N14" s="14">
        <f t="shared" si="1"/>
        <v>0</v>
      </c>
      <c r="O14" s="21">
        <v>0</v>
      </c>
      <c r="P14" s="22">
        <v>0</v>
      </c>
      <c r="Q14" s="22">
        <v>0</v>
      </c>
      <c r="R14" s="14">
        <f t="shared" si="2"/>
        <v>0</v>
      </c>
      <c r="S14" s="21">
        <v>0</v>
      </c>
      <c r="T14" s="22">
        <v>0</v>
      </c>
      <c r="U14" s="22">
        <v>0</v>
      </c>
      <c r="V14" s="14">
        <f t="shared" si="3"/>
        <v>0</v>
      </c>
      <c r="W14" s="21">
        <v>0</v>
      </c>
      <c r="X14" s="22">
        <v>0</v>
      </c>
      <c r="Y14" s="22">
        <v>0</v>
      </c>
      <c r="Z14" s="14">
        <f t="shared" si="4"/>
        <v>0</v>
      </c>
      <c r="AA14" s="21">
        <v>0</v>
      </c>
      <c r="AB14" s="22">
        <v>0</v>
      </c>
      <c r="AC14" s="22">
        <v>0</v>
      </c>
      <c r="AD14" s="14">
        <f t="shared" si="5"/>
        <v>0</v>
      </c>
      <c r="AE14" s="3"/>
      <c r="AF14" s="3"/>
    </row>
    <row r="15" spans="2:32" x14ac:dyDescent="0.25">
      <c r="B15" s="3" t="s">
        <v>8</v>
      </c>
      <c r="C15" s="21">
        <v>17</v>
      </c>
      <c r="D15" s="22"/>
      <c r="E15" s="22">
        <v>0</v>
      </c>
      <c r="F15" s="23">
        <v>0</v>
      </c>
      <c r="G15" s="21">
        <v>300000</v>
      </c>
      <c r="H15" s="21">
        <v>279000</v>
      </c>
      <c r="I15" s="145">
        <v>279000</v>
      </c>
      <c r="J15" s="14">
        <f t="shared" si="0"/>
        <v>14586000</v>
      </c>
      <c r="K15" s="21">
        <v>0</v>
      </c>
      <c r="L15" s="22">
        <v>0</v>
      </c>
      <c r="M15" s="22">
        <v>0</v>
      </c>
      <c r="N15" s="14">
        <f t="shared" si="1"/>
        <v>0</v>
      </c>
      <c r="O15" s="21">
        <v>0</v>
      </c>
      <c r="P15" s="22">
        <v>0</v>
      </c>
      <c r="Q15" s="22">
        <v>0</v>
      </c>
      <c r="R15" s="14">
        <f t="shared" si="2"/>
        <v>0</v>
      </c>
      <c r="S15" s="21">
        <v>0</v>
      </c>
      <c r="T15" s="22">
        <v>0</v>
      </c>
      <c r="U15" s="22">
        <v>0</v>
      </c>
      <c r="V15" s="14">
        <f t="shared" si="3"/>
        <v>0</v>
      </c>
      <c r="W15" s="21">
        <v>0</v>
      </c>
      <c r="X15" s="22">
        <v>0</v>
      </c>
      <c r="Y15" s="22">
        <v>0</v>
      </c>
      <c r="Z15" s="14">
        <f t="shared" si="4"/>
        <v>0</v>
      </c>
      <c r="AA15" s="21">
        <v>0</v>
      </c>
      <c r="AB15" s="22">
        <v>0</v>
      </c>
      <c r="AC15" s="22">
        <v>0</v>
      </c>
      <c r="AD15" s="14">
        <f t="shared" si="5"/>
        <v>0</v>
      </c>
      <c r="AE15" s="3"/>
      <c r="AF15" s="3"/>
    </row>
    <row r="16" spans="2:32" x14ac:dyDescent="0.25">
      <c r="B16" s="3" t="s">
        <v>9</v>
      </c>
      <c r="C16" s="21">
        <v>24</v>
      </c>
      <c r="D16" s="22"/>
      <c r="E16" s="22">
        <v>0</v>
      </c>
      <c r="F16" s="23">
        <v>0</v>
      </c>
      <c r="G16" s="21">
        <v>350000</v>
      </c>
      <c r="H16" s="21">
        <v>325000</v>
      </c>
      <c r="I16" s="145">
        <v>300000</v>
      </c>
      <c r="J16" s="14">
        <f t="shared" si="0"/>
        <v>23400000</v>
      </c>
      <c r="K16" s="21">
        <v>0</v>
      </c>
      <c r="L16" s="22">
        <v>0</v>
      </c>
      <c r="M16" s="22">
        <v>0</v>
      </c>
      <c r="N16" s="14">
        <f t="shared" si="1"/>
        <v>0</v>
      </c>
      <c r="O16" s="21">
        <v>0</v>
      </c>
      <c r="P16" s="22">
        <v>0</v>
      </c>
      <c r="Q16" s="22">
        <v>0</v>
      </c>
      <c r="R16" s="14">
        <f t="shared" si="2"/>
        <v>0</v>
      </c>
      <c r="S16" s="21">
        <v>0</v>
      </c>
      <c r="T16" s="22">
        <v>0</v>
      </c>
      <c r="U16" s="22">
        <v>0</v>
      </c>
      <c r="V16" s="14">
        <f t="shared" si="3"/>
        <v>0</v>
      </c>
      <c r="W16" s="21">
        <v>0</v>
      </c>
      <c r="X16" s="22">
        <v>0</v>
      </c>
      <c r="Y16" s="22">
        <v>0</v>
      </c>
      <c r="Z16" s="14">
        <f t="shared" si="4"/>
        <v>0</v>
      </c>
      <c r="AA16" s="21">
        <v>0</v>
      </c>
      <c r="AB16" s="22">
        <v>0</v>
      </c>
      <c r="AC16" s="22">
        <v>0</v>
      </c>
      <c r="AD16" s="14">
        <f t="shared" si="5"/>
        <v>0</v>
      </c>
      <c r="AE16" s="3"/>
      <c r="AF16" s="3"/>
    </row>
    <row r="17" spans="2:32" x14ac:dyDescent="0.25">
      <c r="B17" s="3" t="s">
        <v>10</v>
      </c>
      <c r="C17" s="21">
        <v>20</v>
      </c>
      <c r="D17" s="22"/>
      <c r="E17" s="22">
        <v>0</v>
      </c>
      <c r="F17" s="23">
        <v>0</v>
      </c>
      <c r="G17" s="21">
        <v>455000</v>
      </c>
      <c r="H17" s="21">
        <v>420000</v>
      </c>
      <c r="I17" s="145">
        <v>400000</v>
      </c>
      <c r="J17" s="14">
        <f t="shared" si="0"/>
        <v>25500000</v>
      </c>
      <c r="K17" s="21">
        <v>0</v>
      </c>
      <c r="L17" s="22">
        <v>0</v>
      </c>
      <c r="M17" s="22">
        <v>0</v>
      </c>
      <c r="N17" s="14">
        <f t="shared" si="1"/>
        <v>0</v>
      </c>
      <c r="O17" s="21">
        <v>0</v>
      </c>
      <c r="P17" s="22">
        <v>0</v>
      </c>
      <c r="Q17" s="22">
        <v>0</v>
      </c>
      <c r="R17" s="14">
        <f t="shared" si="2"/>
        <v>0</v>
      </c>
      <c r="S17" s="21">
        <v>0</v>
      </c>
      <c r="T17" s="22">
        <v>0</v>
      </c>
      <c r="U17" s="22">
        <v>0</v>
      </c>
      <c r="V17" s="14">
        <f t="shared" si="3"/>
        <v>0</v>
      </c>
      <c r="W17" s="21">
        <v>0</v>
      </c>
      <c r="X17" s="22">
        <v>0</v>
      </c>
      <c r="Y17" s="22">
        <v>0</v>
      </c>
      <c r="Z17" s="14">
        <f t="shared" si="4"/>
        <v>0</v>
      </c>
      <c r="AA17" s="21">
        <v>0</v>
      </c>
      <c r="AB17" s="22">
        <v>0</v>
      </c>
      <c r="AC17" s="22">
        <v>0</v>
      </c>
      <c r="AD17" s="14">
        <f t="shared" si="5"/>
        <v>0</v>
      </c>
      <c r="AE17" s="3"/>
      <c r="AF17" s="3"/>
    </row>
    <row r="18" spans="2:32" x14ac:dyDescent="0.25">
      <c r="B18" s="3" t="s">
        <v>11</v>
      </c>
      <c r="C18" s="21">
        <v>22</v>
      </c>
      <c r="D18" s="22"/>
      <c r="E18" s="22">
        <v>0</v>
      </c>
      <c r="F18" s="23">
        <v>0</v>
      </c>
      <c r="G18" s="21">
        <v>480000</v>
      </c>
      <c r="H18" s="21">
        <v>425000</v>
      </c>
      <c r="I18" s="145">
        <v>416000</v>
      </c>
      <c r="J18" s="14">
        <f t="shared" si="0"/>
        <v>29062000</v>
      </c>
      <c r="K18" s="21">
        <v>0</v>
      </c>
      <c r="L18" s="22">
        <v>0</v>
      </c>
      <c r="M18" s="22">
        <v>0</v>
      </c>
      <c r="N18" s="14">
        <f t="shared" si="1"/>
        <v>0</v>
      </c>
      <c r="O18" s="21">
        <v>0</v>
      </c>
      <c r="P18" s="22">
        <v>0</v>
      </c>
      <c r="Q18" s="22">
        <v>0</v>
      </c>
      <c r="R18" s="14">
        <f t="shared" si="2"/>
        <v>0</v>
      </c>
      <c r="S18" s="21">
        <v>0</v>
      </c>
      <c r="T18" s="22">
        <v>0</v>
      </c>
      <c r="U18" s="22">
        <v>0</v>
      </c>
      <c r="V18" s="14">
        <f t="shared" si="3"/>
        <v>0</v>
      </c>
      <c r="W18" s="21">
        <v>0</v>
      </c>
      <c r="X18" s="22">
        <v>0</v>
      </c>
      <c r="Y18" s="22">
        <v>0</v>
      </c>
      <c r="Z18" s="14">
        <f t="shared" si="4"/>
        <v>0</v>
      </c>
      <c r="AA18" s="21">
        <v>0</v>
      </c>
      <c r="AB18" s="22">
        <v>0</v>
      </c>
      <c r="AC18" s="22">
        <v>0</v>
      </c>
      <c r="AD18" s="14">
        <f t="shared" si="5"/>
        <v>0</v>
      </c>
      <c r="AE18" s="3"/>
      <c r="AF18" s="3"/>
    </row>
    <row r="19" spans="2:32" x14ac:dyDescent="0.25">
      <c r="B19" s="3" t="s">
        <v>99</v>
      </c>
      <c r="C19" s="21">
        <v>19</v>
      </c>
      <c r="D19" s="22"/>
      <c r="E19" s="22">
        <v>0</v>
      </c>
      <c r="F19" s="23"/>
      <c r="G19" s="21">
        <v>576500</v>
      </c>
      <c r="H19" s="21">
        <v>560000</v>
      </c>
      <c r="I19" s="145">
        <v>550000</v>
      </c>
      <c r="J19" s="14">
        <f t="shared" si="0"/>
        <v>32043500</v>
      </c>
      <c r="K19" s="21"/>
      <c r="L19" s="22"/>
      <c r="M19" s="22"/>
      <c r="N19" s="14"/>
      <c r="O19" s="21"/>
      <c r="P19" s="22"/>
      <c r="Q19" s="22"/>
      <c r="R19" s="14"/>
      <c r="S19" s="21"/>
      <c r="T19" s="22"/>
      <c r="U19" s="22"/>
      <c r="V19" s="14"/>
      <c r="W19" s="21"/>
      <c r="X19" s="22"/>
      <c r="Y19" s="22"/>
      <c r="Z19" s="14"/>
      <c r="AA19" s="21"/>
      <c r="AB19" s="22"/>
      <c r="AC19" s="22"/>
      <c r="AD19" s="14"/>
      <c r="AE19" s="3"/>
      <c r="AF19" s="3"/>
    </row>
    <row r="20" spans="2:32" x14ac:dyDescent="0.25">
      <c r="B20" s="69" t="s">
        <v>12</v>
      </c>
      <c r="C20" s="75">
        <f>SUM(C8:C19)</f>
        <v>254</v>
      </c>
      <c r="D20" s="76">
        <f>SUM(D8:D18)</f>
        <v>0</v>
      </c>
      <c r="E20" s="76">
        <f>SUM(E8:E18)</f>
        <v>0</v>
      </c>
      <c r="F20" s="77">
        <f>SUM(F8:F18)</f>
        <v>0</v>
      </c>
      <c r="G20" s="75"/>
      <c r="H20" s="76"/>
      <c r="I20" s="76"/>
      <c r="J20" s="78"/>
      <c r="K20" s="79"/>
      <c r="L20" s="80"/>
      <c r="M20" s="80"/>
      <c r="N20" s="78"/>
      <c r="O20" s="79"/>
      <c r="P20" s="80"/>
      <c r="Q20" s="80"/>
      <c r="R20" s="78"/>
      <c r="S20" s="79"/>
      <c r="T20" s="80"/>
      <c r="U20" s="80"/>
      <c r="V20" s="78"/>
      <c r="W20" s="79"/>
      <c r="X20" s="80"/>
      <c r="Y20" s="80"/>
      <c r="Z20" s="78"/>
      <c r="AA20" s="79"/>
      <c r="AB20" s="80"/>
      <c r="AC20" s="80"/>
      <c r="AD20" s="78"/>
      <c r="AE20" s="4"/>
      <c r="AF20" s="4"/>
    </row>
    <row r="21" spans="2:32" x14ac:dyDescent="0.25">
      <c r="B21" s="4" t="s">
        <v>13</v>
      </c>
      <c r="C21" s="16"/>
      <c r="D21" s="17"/>
      <c r="E21" s="17"/>
      <c r="F21" s="20"/>
      <c r="G21" s="16"/>
      <c r="H21" s="17"/>
      <c r="I21" s="17"/>
      <c r="J21" s="18">
        <f>SUM(J8:J20)</f>
        <v>222957000</v>
      </c>
      <c r="K21" s="16"/>
      <c r="L21" s="17"/>
      <c r="M21" s="17"/>
      <c r="N21" s="18">
        <f>SUM(N8:N20)</f>
        <v>0</v>
      </c>
      <c r="O21" s="16"/>
      <c r="P21" s="17"/>
      <c r="Q21" s="17"/>
      <c r="R21" s="19">
        <f>SUM(R8:R20)</f>
        <v>0</v>
      </c>
      <c r="S21" s="16"/>
      <c r="T21" s="17"/>
      <c r="U21" s="17"/>
      <c r="V21" s="18">
        <f>SUM(V8:V20)</f>
        <v>0</v>
      </c>
      <c r="W21" s="16"/>
      <c r="X21" s="17"/>
      <c r="Y21" s="17"/>
      <c r="Z21" s="18">
        <f>SUM(Z8:Z20)</f>
        <v>0</v>
      </c>
      <c r="AA21" s="16"/>
      <c r="AB21" s="17"/>
      <c r="AC21" s="17"/>
      <c r="AD21" s="18">
        <f>SUM(AD8:AD20)</f>
        <v>0</v>
      </c>
      <c r="AE21" s="4"/>
      <c r="AF21" s="4"/>
    </row>
    <row r="22" spans="2:32" ht="25.5" customHeight="1" x14ac:dyDescent="0.25">
      <c r="B22" s="6" t="s">
        <v>58</v>
      </c>
      <c r="C22" s="81">
        <v>220987123.59</v>
      </c>
      <c r="D22" s="3"/>
      <c r="E22" s="3"/>
      <c r="F22" s="3"/>
      <c r="G22" s="3"/>
      <c r="H22" s="3"/>
      <c r="I22" s="3"/>
      <c r="J22" s="5"/>
      <c r="K22" s="3"/>
      <c r="L22" s="3"/>
      <c r="M22" s="3"/>
      <c r="N22" s="5"/>
      <c r="O22" s="3"/>
      <c r="P22" s="3"/>
      <c r="Q22" s="3"/>
      <c r="R22" s="5"/>
      <c r="S22" s="3"/>
      <c r="T22" s="3"/>
      <c r="U22" s="3"/>
      <c r="V22" s="5"/>
      <c r="W22" s="3"/>
      <c r="X22" s="3"/>
      <c r="Y22" s="3"/>
      <c r="Z22" s="5"/>
      <c r="AA22" s="3"/>
      <c r="AB22" s="3"/>
      <c r="AC22" s="3"/>
      <c r="AD22" s="5"/>
      <c r="AE22" s="3"/>
      <c r="AF22" s="3"/>
    </row>
    <row r="23" spans="2:32" x14ac:dyDescent="0.25">
      <c r="B23" s="3" t="s">
        <v>22</v>
      </c>
      <c r="C23" s="7">
        <f>(C22)/(J21+N21+R21+V21+Z21+AD21)</f>
        <v>0.99116476984351243</v>
      </c>
      <c r="D23" s="3"/>
      <c r="E23" s="3"/>
      <c r="F23" s="3"/>
      <c r="G23" s="3"/>
      <c r="H23" s="3"/>
      <c r="I23" s="3"/>
      <c r="J23" s="5"/>
      <c r="K23" s="3"/>
      <c r="L23" s="3"/>
      <c r="M23" s="3"/>
      <c r="N23" s="7"/>
      <c r="O23" s="3"/>
      <c r="P23" s="3"/>
      <c r="Q23" s="3"/>
      <c r="R23" s="7"/>
      <c r="S23" s="3"/>
      <c r="T23" s="3"/>
      <c r="U23" s="3"/>
      <c r="V23" s="7"/>
      <c r="W23" s="3"/>
      <c r="X23" s="3"/>
      <c r="Y23" s="3"/>
      <c r="Z23" s="7"/>
      <c r="AA23" s="3"/>
      <c r="AB23" s="3"/>
      <c r="AC23" s="3"/>
      <c r="AD23" s="7"/>
      <c r="AE23" s="3"/>
      <c r="AF23" s="3"/>
    </row>
    <row r="24" spans="2:32" x14ac:dyDescent="0.25">
      <c r="B24" s="3" t="s">
        <v>64</v>
      </c>
      <c r="C24" s="8">
        <f>J21/C20</f>
        <v>877783.46456692915</v>
      </c>
      <c r="D24" s="3"/>
      <c r="E24" s="3"/>
      <c r="F24" s="3"/>
      <c r="G24" s="3"/>
      <c r="H24" s="3"/>
      <c r="I24" s="3"/>
      <c r="J24" s="5"/>
      <c r="K24" s="3"/>
      <c r="L24" s="3"/>
      <c r="M24" s="3"/>
      <c r="N24" s="7"/>
      <c r="O24" s="3"/>
      <c r="P24" s="3"/>
      <c r="Q24" s="3"/>
      <c r="R24" s="7"/>
      <c r="S24" s="3"/>
      <c r="T24" s="3"/>
      <c r="U24" s="3"/>
      <c r="V24" s="7"/>
      <c r="W24" s="3"/>
      <c r="X24" s="3"/>
      <c r="Y24" s="3"/>
      <c r="Z24" s="7"/>
      <c r="AA24" s="3"/>
      <c r="AB24" s="3"/>
      <c r="AC24" s="3"/>
      <c r="AD24" s="7"/>
      <c r="AE24" s="3"/>
      <c r="AF24" s="3"/>
    </row>
    <row r="25" spans="2:32" x14ac:dyDescent="0.25">
      <c r="B25" s="3" t="s">
        <v>185</v>
      </c>
      <c r="C25" s="217">
        <v>26</v>
      </c>
      <c r="D25" s="3"/>
      <c r="E25" s="3"/>
      <c r="F25" s="3"/>
      <c r="G25" s="3"/>
      <c r="H25" s="3"/>
      <c r="I25" s="3"/>
      <c r="J25" s="5"/>
      <c r="K25" s="3"/>
      <c r="L25" s="3"/>
      <c r="M25" s="3"/>
      <c r="N25" s="7"/>
      <c r="O25" s="3"/>
      <c r="P25" s="3"/>
      <c r="Q25" s="3"/>
      <c r="R25" s="7"/>
      <c r="S25" s="3"/>
      <c r="T25" s="3"/>
      <c r="U25" s="3"/>
      <c r="V25" s="7"/>
      <c r="W25" s="3"/>
      <c r="X25" s="3"/>
      <c r="Y25" s="3"/>
      <c r="Z25" s="7"/>
      <c r="AA25" s="3"/>
      <c r="AB25" s="3"/>
      <c r="AC25" s="3"/>
      <c r="AD25" s="7"/>
      <c r="AE25" s="3"/>
      <c r="AF25" s="3"/>
    </row>
    <row r="26" spans="2:32" x14ac:dyDescent="0.25">
      <c r="B26" s="3"/>
      <c r="C26" s="3"/>
      <c r="D26" s="3"/>
      <c r="E26" s="3"/>
      <c r="F26" s="3"/>
      <c r="G26" s="3"/>
      <c r="H26" s="3"/>
      <c r="I26" s="3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2:32" x14ac:dyDescent="0.25">
      <c r="B27" s="66" t="s">
        <v>23</v>
      </c>
      <c r="C27" s="68" t="s">
        <v>24</v>
      </c>
      <c r="D27" s="68" t="s">
        <v>100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x14ac:dyDescent="0.25">
      <c r="B28" s="69" t="s">
        <v>102</v>
      </c>
      <c r="C28" s="70"/>
      <c r="D28" s="7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2:32" x14ac:dyDescent="0.25">
      <c r="B29" s="3" t="s">
        <v>25</v>
      </c>
      <c r="C29" s="5">
        <v>2340000</v>
      </c>
      <c r="D29" s="65">
        <f>C29*12</f>
        <v>28080000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2:32" x14ac:dyDescent="0.25">
      <c r="B30" s="3" t="s">
        <v>26</v>
      </c>
      <c r="C30" s="5">
        <v>1550000</v>
      </c>
      <c r="D30" s="65">
        <f>C30*12</f>
        <v>18600000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2:32" x14ac:dyDescent="0.25">
      <c r="B31" s="3" t="s">
        <v>28</v>
      </c>
      <c r="C31" s="5">
        <v>500000</v>
      </c>
      <c r="D31" s="65">
        <f>C31*12</f>
        <v>6000000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2:32" x14ac:dyDescent="0.25">
      <c r="B32" s="3" t="s">
        <v>27</v>
      </c>
      <c r="C32" s="5">
        <v>600000</v>
      </c>
      <c r="D32" s="65">
        <f t="shared" ref="D32" si="6">C32*9</f>
        <v>5400000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x14ac:dyDescent="0.25">
      <c r="B33" s="69" t="s">
        <v>29</v>
      </c>
      <c r="C33" s="69"/>
      <c r="D33" s="7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2:32" x14ac:dyDescent="0.25">
      <c r="B34" s="3" t="s">
        <v>30</v>
      </c>
      <c r="C34" s="5">
        <v>100000</v>
      </c>
      <c r="D34" s="65">
        <f>C34*12</f>
        <v>1200000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x14ac:dyDescent="0.25">
      <c r="B35" s="3" t="s">
        <v>31</v>
      </c>
      <c r="C35" s="5">
        <v>250000</v>
      </c>
      <c r="D35" s="65">
        <f>C35*12</f>
        <v>3000000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x14ac:dyDescent="0.25">
      <c r="B36" s="3" t="s">
        <v>32</v>
      </c>
      <c r="C36" s="5">
        <v>100000</v>
      </c>
      <c r="D36" s="65">
        <f>C36*1</f>
        <v>100000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x14ac:dyDescent="0.25">
      <c r="B37" s="3" t="s">
        <v>19</v>
      </c>
      <c r="C37" s="5">
        <v>300000</v>
      </c>
      <c r="D37" s="65">
        <f>C37*12</f>
        <v>3600000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x14ac:dyDescent="0.25">
      <c r="B38" s="3" t="s">
        <v>44</v>
      </c>
      <c r="C38" s="5">
        <v>0</v>
      </c>
      <c r="D38" s="65">
        <f>C38*12</f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x14ac:dyDescent="0.25">
      <c r="B39" s="3" t="s">
        <v>33</v>
      </c>
      <c r="C39" s="5">
        <v>550000</v>
      </c>
      <c r="D39" s="65">
        <f>C39*12</f>
        <v>6600000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x14ac:dyDescent="0.25">
      <c r="B40" s="3" t="s">
        <v>34</v>
      </c>
      <c r="C40" s="5">
        <v>0</v>
      </c>
      <c r="D40" s="65">
        <f t="shared" ref="D40:D46" si="7">C40*12</f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x14ac:dyDescent="0.25">
      <c r="B41" s="3" t="s">
        <v>196</v>
      </c>
      <c r="C41" s="5">
        <v>230000</v>
      </c>
      <c r="D41" s="65">
        <f>C41*3</f>
        <v>690000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x14ac:dyDescent="0.25">
      <c r="B42" s="3" t="s">
        <v>35</v>
      </c>
      <c r="C42" s="5">
        <v>450000</v>
      </c>
      <c r="D42" s="65">
        <f t="shared" si="7"/>
        <v>5400000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x14ac:dyDescent="0.25">
      <c r="B43" s="3" t="s">
        <v>36</v>
      </c>
      <c r="C43" s="5">
        <v>200000</v>
      </c>
      <c r="D43" s="65">
        <f t="shared" si="7"/>
        <v>2400000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x14ac:dyDescent="0.25">
      <c r="B44" s="3" t="s">
        <v>37</v>
      </c>
      <c r="C44" s="5">
        <v>300000</v>
      </c>
      <c r="D44" s="65">
        <f t="shared" si="7"/>
        <v>3600000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x14ac:dyDescent="0.25">
      <c r="B45" s="3" t="s">
        <v>199</v>
      </c>
      <c r="C45" s="5">
        <v>216000</v>
      </c>
      <c r="D45" s="65">
        <f t="shared" si="7"/>
        <v>2592000</v>
      </c>
      <c r="E45" s="3"/>
      <c r="F45" s="3" t="s">
        <v>200</v>
      </c>
      <c r="G45" s="5">
        <v>632000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x14ac:dyDescent="0.25">
      <c r="B46" s="3" t="s">
        <v>92</v>
      </c>
      <c r="C46" s="5">
        <v>0</v>
      </c>
      <c r="D46" s="65">
        <f t="shared" si="7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x14ac:dyDescent="0.25">
      <c r="B47" s="69" t="s">
        <v>38</v>
      </c>
      <c r="C47" s="72">
        <f>SUM(C29:C32)+SUM(C34:C46)</f>
        <v>7686000</v>
      </c>
      <c r="D47" s="73">
        <f>SUM(D28:D46)</f>
        <v>87262000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2:32" x14ac:dyDescent="0.25">
      <c r="B48" s="69" t="s">
        <v>45</v>
      </c>
      <c r="C48" s="70"/>
      <c r="D48" s="74">
        <f>C22-D47</f>
        <v>133725123.59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x14ac:dyDescent="0.25">
      <c r="B49" s="26" t="s">
        <v>101</v>
      </c>
      <c r="C49" s="3"/>
      <c r="D49" s="82">
        <v>0.3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x14ac:dyDescent="0.25">
      <c r="B50" s="26" t="s">
        <v>174</v>
      </c>
      <c r="C50" s="3"/>
      <c r="D50" s="83">
        <f>D49*D48</f>
        <v>40117537.077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x14ac:dyDescent="0.25">
      <c r="B51" s="69" t="s">
        <v>103</v>
      </c>
      <c r="C51" s="70"/>
      <c r="D51" s="74">
        <f>(D48-D50)</f>
        <v>93607586.513000011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</sheetData>
  <mergeCells count="10">
    <mergeCell ref="C1:E1"/>
    <mergeCell ref="C2:E2"/>
    <mergeCell ref="B4:AF5"/>
    <mergeCell ref="C6:F6"/>
    <mergeCell ref="G6:J6"/>
    <mergeCell ref="K6:N6"/>
    <mergeCell ref="O6:R6"/>
    <mergeCell ref="S6:V6"/>
    <mergeCell ref="W6:Z6"/>
    <mergeCell ref="AA6:A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0849-6734-4EA5-884A-35367E253DFE}">
  <dimension ref="A1:AF51"/>
  <sheetViews>
    <sheetView topLeftCell="A34" zoomScaleNormal="100" workbookViewId="0">
      <pane xSplit="2" topLeftCell="C1" activePane="topRight" state="frozen"/>
      <selection pane="topRight" activeCell="G48" sqref="G48"/>
    </sheetView>
  </sheetViews>
  <sheetFormatPr defaultRowHeight="13.5" x14ac:dyDescent="0.25"/>
  <cols>
    <col min="1" max="1" width="3.28515625" style="3" customWidth="1"/>
    <col min="2" max="2" width="36.85546875" style="3" customWidth="1"/>
    <col min="3" max="3" width="16" style="3" customWidth="1"/>
    <col min="4" max="4" width="15.140625" style="3" customWidth="1"/>
    <col min="5" max="5" width="9.5703125" style="3" bestFit="1" customWidth="1"/>
    <col min="6" max="6" width="26.5703125" style="3" bestFit="1" customWidth="1"/>
    <col min="7" max="7" width="12.85546875" style="3" bestFit="1" customWidth="1"/>
    <col min="8" max="9" width="11.28515625" style="3" bestFit="1" customWidth="1"/>
    <col min="10" max="10" width="17.85546875" style="3" customWidth="1"/>
    <col min="11" max="13" width="10.85546875" style="3" bestFit="1" customWidth="1"/>
    <col min="14" max="14" width="7.85546875" style="3" bestFit="1" customWidth="1"/>
    <col min="15" max="17" width="10.85546875" style="3" bestFit="1" customWidth="1"/>
    <col min="18" max="18" width="14.7109375" style="3" customWidth="1"/>
    <col min="19" max="21" width="10.85546875" style="3" bestFit="1" customWidth="1"/>
    <col min="22" max="22" width="12" style="3" customWidth="1"/>
    <col min="23" max="25" width="10.85546875" style="3" bestFit="1" customWidth="1"/>
    <col min="26" max="26" width="10.7109375" style="3" bestFit="1" customWidth="1"/>
    <col min="27" max="29" width="10.85546875" style="3" bestFit="1" customWidth="1"/>
    <col min="30" max="30" width="17.28515625" style="3" customWidth="1"/>
    <col min="31" max="16384" width="9.140625" style="3"/>
  </cols>
  <sheetData>
    <row r="1" spans="1:32" s="112" customFormat="1" ht="14.25" x14ac:dyDescent="0.3">
      <c r="A1" s="111"/>
      <c r="B1" s="110" t="s">
        <v>107</v>
      </c>
      <c r="C1" s="240" t="str">
        <f>'Cover Page'!C1:F1</f>
        <v>XYZ International School</v>
      </c>
      <c r="D1" s="240"/>
      <c r="E1" s="240"/>
    </row>
    <row r="2" spans="1:32" s="112" customFormat="1" ht="14.25" x14ac:dyDescent="0.3">
      <c r="A2" s="111"/>
      <c r="B2" s="110" t="s">
        <v>108</v>
      </c>
      <c r="C2" s="241">
        <f>'Cover Page'!C4:F4</f>
        <v>150000000</v>
      </c>
      <c r="D2" s="240"/>
      <c r="E2" s="240"/>
    </row>
    <row r="4" spans="1:32" s="10" customFormat="1" x14ac:dyDescent="0.25">
      <c r="B4" s="242" t="s">
        <v>71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</row>
    <row r="5" spans="1:32" s="9" customFormat="1" ht="12.75" x14ac:dyDescent="0.25"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</row>
    <row r="6" spans="1:32" s="4" customFormat="1" ht="12.75" x14ac:dyDescent="0.2">
      <c r="B6" s="67" t="s">
        <v>0</v>
      </c>
      <c r="C6" s="243" t="s">
        <v>14</v>
      </c>
      <c r="D6" s="243"/>
      <c r="E6" s="243"/>
      <c r="F6" s="243"/>
      <c r="G6" s="243" t="s">
        <v>15</v>
      </c>
      <c r="H6" s="243"/>
      <c r="I6" s="243"/>
      <c r="J6" s="243"/>
      <c r="K6" s="244" t="s">
        <v>16</v>
      </c>
      <c r="L6" s="245"/>
      <c r="M6" s="245"/>
      <c r="N6" s="246"/>
      <c r="O6" s="244" t="s">
        <v>18</v>
      </c>
      <c r="P6" s="245"/>
      <c r="Q6" s="245"/>
      <c r="R6" s="246"/>
      <c r="S6" s="244" t="s">
        <v>19</v>
      </c>
      <c r="T6" s="245"/>
      <c r="U6" s="245"/>
      <c r="V6" s="246"/>
      <c r="W6" s="247" t="s">
        <v>17</v>
      </c>
      <c r="X6" s="248"/>
      <c r="Y6" s="248"/>
      <c r="Z6" s="249"/>
      <c r="AA6" s="244" t="s">
        <v>21</v>
      </c>
      <c r="AB6" s="245"/>
      <c r="AC6" s="245"/>
      <c r="AD6" s="246"/>
    </row>
    <row r="7" spans="1:32" s="9" customFormat="1" ht="42" customHeight="1" x14ac:dyDescent="0.25">
      <c r="C7" s="11" t="s">
        <v>20</v>
      </c>
      <c r="D7" s="12" t="s">
        <v>16</v>
      </c>
      <c r="E7" s="12" t="s">
        <v>17</v>
      </c>
      <c r="F7" s="13" t="s">
        <v>21</v>
      </c>
      <c r="G7" s="11" t="s">
        <v>193</v>
      </c>
      <c r="H7" s="12" t="s">
        <v>194</v>
      </c>
      <c r="I7" s="12" t="s">
        <v>195</v>
      </c>
      <c r="J7" s="13" t="s">
        <v>65</v>
      </c>
      <c r="K7" s="11" t="s">
        <v>193</v>
      </c>
      <c r="L7" s="12" t="s">
        <v>194</v>
      </c>
      <c r="M7" s="12" t="s">
        <v>195</v>
      </c>
      <c r="N7" s="15" t="s">
        <v>68</v>
      </c>
      <c r="O7" s="11" t="s">
        <v>193</v>
      </c>
      <c r="P7" s="12" t="s">
        <v>194</v>
      </c>
      <c r="Q7" s="12" t="s">
        <v>195</v>
      </c>
      <c r="R7" s="15" t="s">
        <v>67</v>
      </c>
      <c r="S7" s="11" t="s">
        <v>193</v>
      </c>
      <c r="T7" s="12" t="s">
        <v>194</v>
      </c>
      <c r="U7" s="12" t="s">
        <v>195</v>
      </c>
      <c r="V7" s="15" t="s">
        <v>66</v>
      </c>
      <c r="W7" s="11" t="s">
        <v>193</v>
      </c>
      <c r="X7" s="12" t="s">
        <v>194</v>
      </c>
      <c r="Y7" s="12" t="s">
        <v>195</v>
      </c>
      <c r="Z7" s="15" t="s">
        <v>69</v>
      </c>
      <c r="AA7" s="11" t="s">
        <v>193</v>
      </c>
      <c r="AB7" s="12" t="s">
        <v>194</v>
      </c>
      <c r="AC7" s="12" t="s">
        <v>195</v>
      </c>
      <c r="AD7" s="15" t="s">
        <v>70</v>
      </c>
    </row>
    <row r="8" spans="1:32" x14ac:dyDescent="0.25">
      <c r="B8" s="3" t="s">
        <v>1</v>
      </c>
      <c r="C8" s="21">
        <v>38</v>
      </c>
      <c r="D8" s="22"/>
      <c r="E8" s="22">
        <v>0</v>
      </c>
      <c r="F8" s="23">
        <v>0</v>
      </c>
      <c r="G8" s="21">
        <v>188000</v>
      </c>
      <c r="H8" s="21">
        <v>179000</v>
      </c>
      <c r="I8" s="21">
        <v>179000</v>
      </c>
      <c r="J8" s="14">
        <f>C8*(G8+H8+I8)</f>
        <v>20748000</v>
      </c>
      <c r="K8" s="21">
        <v>0</v>
      </c>
      <c r="L8" s="22">
        <v>0</v>
      </c>
      <c r="M8" s="22">
        <v>0</v>
      </c>
      <c r="N8" s="14">
        <f>D8*(K8+L8+M8)</f>
        <v>0</v>
      </c>
      <c r="O8" s="21">
        <v>0</v>
      </c>
      <c r="P8" s="22">
        <v>0</v>
      </c>
      <c r="Q8" s="22">
        <v>0</v>
      </c>
      <c r="R8" s="14">
        <f>C8*(O8+P8+Q8)</f>
        <v>0</v>
      </c>
      <c r="S8" s="21">
        <v>0</v>
      </c>
      <c r="T8" s="22">
        <v>0</v>
      </c>
      <c r="U8" s="22">
        <v>0</v>
      </c>
      <c r="V8" s="14">
        <f>C8*(S8+T8+U8)</f>
        <v>0</v>
      </c>
      <c r="W8" s="21">
        <v>0</v>
      </c>
      <c r="X8" s="22">
        <v>0</v>
      </c>
      <c r="Y8" s="22">
        <v>0</v>
      </c>
      <c r="Z8" s="14">
        <f>E8*(W8+X8+Y8)</f>
        <v>0</v>
      </c>
      <c r="AA8" s="21">
        <v>0</v>
      </c>
      <c r="AB8" s="22">
        <v>0</v>
      </c>
      <c r="AC8" s="22">
        <v>0</v>
      </c>
      <c r="AD8" s="14">
        <f>F8*(AA8+AB8+AC8)</f>
        <v>0</v>
      </c>
    </row>
    <row r="9" spans="1:32" x14ac:dyDescent="0.25">
      <c r="B9" s="3" t="s">
        <v>2</v>
      </c>
      <c r="C9" s="21">
        <v>20</v>
      </c>
      <c r="D9" s="22"/>
      <c r="E9" s="22">
        <v>0</v>
      </c>
      <c r="F9" s="23">
        <v>0</v>
      </c>
      <c r="G9" s="21">
        <v>188000</v>
      </c>
      <c r="H9" s="21">
        <v>179000</v>
      </c>
      <c r="I9" s="21">
        <v>179000</v>
      </c>
      <c r="J9" s="14">
        <f t="shared" ref="J9:J19" si="0">C9*(G9+H9+I9)</f>
        <v>10920000</v>
      </c>
      <c r="K9" s="21">
        <v>0</v>
      </c>
      <c r="L9" s="22">
        <v>0</v>
      </c>
      <c r="M9" s="22">
        <v>0</v>
      </c>
      <c r="N9" s="14">
        <f t="shared" ref="N9:N18" si="1">D9*(K9+L9+M9)</f>
        <v>0</v>
      </c>
      <c r="O9" s="21">
        <v>0</v>
      </c>
      <c r="P9" s="22">
        <v>0</v>
      </c>
      <c r="Q9" s="22">
        <v>0</v>
      </c>
      <c r="R9" s="14">
        <f t="shared" ref="R9:R18" si="2">C9*(O9+P9+Q9)</f>
        <v>0</v>
      </c>
      <c r="S9" s="21">
        <v>0</v>
      </c>
      <c r="T9" s="22">
        <v>0</v>
      </c>
      <c r="U9" s="22">
        <v>0</v>
      </c>
      <c r="V9" s="14">
        <f t="shared" ref="V9:V18" si="3">C9*(S9+T9+U9)</f>
        <v>0</v>
      </c>
      <c r="W9" s="21">
        <v>0</v>
      </c>
      <c r="X9" s="22">
        <v>0</v>
      </c>
      <c r="Y9" s="22">
        <v>0</v>
      </c>
      <c r="Z9" s="14">
        <f t="shared" ref="Z9:Z18" si="4">E9*(W9+X9+Y9)</f>
        <v>0</v>
      </c>
      <c r="AA9" s="21">
        <v>0</v>
      </c>
      <c r="AB9" s="22">
        <v>0</v>
      </c>
      <c r="AC9" s="22">
        <v>0</v>
      </c>
      <c r="AD9" s="14">
        <f t="shared" ref="AD9:AD18" si="5">F9*(AA9+AB9+AC9)</f>
        <v>0</v>
      </c>
    </row>
    <row r="10" spans="1:32" x14ac:dyDescent="0.25">
      <c r="B10" s="3" t="s">
        <v>3</v>
      </c>
      <c r="C10" s="21">
        <v>26</v>
      </c>
      <c r="D10" s="22"/>
      <c r="E10" s="22">
        <v>0</v>
      </c>
      <c r="F10" s="23">
        <v>0</v>
      </c>
      <c r="G10" s="21">
        <v>235000</v>
      </c>
      <c r="H10" s="21">
        <v>220000</v>
      </c>
      <c r="I10" s="21">
        <v>200000</v>
      </c>
      <c r="J10" s="14">
        <f t="shared" si="0"/>
        <v>17030000</v>
      </c>
      <c r="K10" s="21">
        <v>0</v>
      </c>
      <c r="L10" s="22">
        <v>0</v>
      </c>
      <c r="M10" s="22">
        <v>0</v>
      </c>
      <c r="N10" s="14">
        <f t="shared" si="1"/>
        <v>0</v>
      </c>
      <c r="O10" s="21">
        <v>0</v>
      </c>
      <c r="P10" s="22">
        <v>0</v>
      </c>
      <c r="Q10" s="22">
        <v>0</v>
      </c>
      <c r="R10" s="14">
        <f t="shared" si="2"/>
        <v>0</v>
      </c>
      <c r="S10" s="21">
        <v>0</v>
      </c>
      <c r="T10" s="22">
        <v>0</v>
      </c>
      <c r="U10" s="22">
        <v>0</v>
      </c>
      <c r="V10" s="14">
        <f t="shared" si="3"/>
        <v>0</v>
      </c>
      <c r="W10" s="21">
        <v>0</v>
      </c>
      <c r="X10" s="22">
        <v>0</v>
      </c>
      <c r="Y10" s="22">
        <v>0</v>
      </c>
      <c r="Z10" s="14">
        <f t="shared" si="4"/>
        <v>0</v>
      </c>
      <c r="AA10" s="21">
        <v>0</v>
      </c>
      <c r="AB10" s="22">
        <v>0</v>
      </c>
      <c r="AC10" s="22">
        <v>0</v>
      </c>
      <c r="AD10" s="14">
        <f t="shared" si="5"/>
        <v>0</v>
      </c>
    </row>
    <row r="11" spans="1:32" x14ac:dyDescent="0.25">
      <c r="B11" s="3" t="s">
        <v>4</v>
      </c>
      <c r="C11" s="21">
        <v>22</v>
      </c>
      <c r="D11" s="22"/>
      <c r="E11" s="22">
        <v>0</v>
      </c>
      <c r="F11" s="23">
        <v>0</v>
      </c>
      <c r="G11" s="21">
        <v>235000</v>
      </c>
      <c r="H11" s="21">
        <v>220000</v>
      </c>
      <c r="I11" s="21">
        <v>200000</v>
      </c>
      <c r="J11" s="14">
        <f t="shared" si="0"/>
        <v>14410000</v>
      </c>
      <c r="K11" s="21">
        <v>0</v>
      </c>
      <c r="L11" s="22">
        <v>0</v>
      </c>
      <c r="M11" s="22">
        <v>0</v>
      </c>
      <c r="N11" s="14">
        <f t="shared" si="1"/>
        <v>0</v>
      </c>
      <c r="O11" s="21">
        <v>0</v>
      </c>
      <c r="P11" s="22">
        <v>0</v>
      </c>
      <c r="Q11" s="22">
        <v>0</v>
      </c>
      <c r="R11" s="14">
        <f t="shared" si="2"/>
        <v>0</v>
      </c>
      <c r="S11" s="21">
        <v>0</v>
      </c>
      <c r="T11" s="22">
        <v>0</v>
      </c>
      <c r="U11" s="22">
        <v>0</v>
      </c>
      <c r="V11" s="14">
        <f t="shared" si="3"/>
        <v>0</v>
      </c>
      <c r="W11" s="21">
        <v>0</v>
      </c>
      <c r="X11" s="22">
        <v>0</v>
      </c>
      <c r="Y11" s="22">
        <v>0</v>
      </c>
      <c r="Z11" s="14">
        <f t="shared" si="4"/>
        <v>0</v>
      </c>
      <c r="AA11" s="21">
        <v>0</v>
      </c>
      <c r="AB11" s="22">
        <v>0</v>
      </c>
      <c r="AC11" s="22">
        <v>0</v>
      </c>
      <c r="AD11" s="14">
        <f t="shared" si="5"/>
        <v>0</v>
      </c>
    </row>
    <row r="12" spans="1:32" x14ac:dyDescent="0.25">
      <c r="B12" s="3" t="s">
        <v>5</v>
      </c>
      <c r="C12" s="21">
        <v>32</v>
      </c>
      <c r="D12" s="22"/>
      <c r="E12" s="22">
        <v>0</v>
      </c>
      <c r="F12" s="23">
        <v>0</v>
      </c>
      <c r="G12" s="21">
        <v>255000</v>
      </c>
      <c r="H12" s="21">
        <v>235500</v>
      </c>
      <c r="I12" s="21">
        <v>220000</v>
      </c>
      <c r="J12" s="14">
        <f t="shared" si="0"/>
        <v>22736000</v>
      </c>
      <c r="K12" s="21">
        <v>0</v>
      </c>
      <c r="L12" s="22">
        <v>0</v>
      </c>
      <c r="M12" s="22">
        <v>0</v>
      </c>
      <c r="N12" s="14">
        <f t="shared" si="1"/>
        <v>0</v>
      </c>
      <c r="O12" s="21">
        <v>0</v>
      </c>
      <c r="P12" s="22">
        <v>0</v>
      </c>
      <c r="Q12" s="22">
        <v>0</v>
      </c>
      <c r="R12" s="14">
        <f t="shared" si="2"/>
        <v>0</v>
      </c>
      <c r="S12" s="21">
        <v>0</v>
      </c>
      <c r="T12" s="22">
        <v>0</v>
      </c>
      <c r="U12" s="22">
        <v>0</v>
      </c>
      <c r="V12" s="14">
        <f t="shared" si="3"/>
        <v>0</v>
      </c>
      <c r="W12" s="21">
        <v>0</v>
      </c>
      <c r="X12" s="22">
        <v>0</v>
      </c>
      <c r="Y12" s="22">
        <v>0</v>
      </c>
      <c r="Z12" s="14">
        <f t="shared" si="4"/>
        <v>0</v>
      </c>
      <c r="AA12" s="21">
        <v>0</v>
      </c>
      <c r="AB12" s="22">
        <v>0</v>
      </c>
      <c r="AC12" s="22">
        <v>0</v>
      </c>
      <c r="AD12" s="14">
        <f t="shared" si="5"/>
        <v>0</v>
      </c>
    </row>
    <row r="13" spans="1:32" x14ac:dyDescent="0.25">
      <c r="B13" s="3" t="s">
        <v>6</v>
      </c>
      <c r="C13" s="21">
        <v>25</v>
      </c>
      <c r="D13" s="22"/>
      <c r="E13" s="22">
        <v>0</v>
      </c>
      <c r="F13" s="23">
        <v>0</v>
      </c>
      <c r="G13" s="21">
        <v>255000</v>
      </c>
      <c r="H13" s="21">
        <v>235500</v>
      </c>
      <c r="I13" s="21">
        <v>220000</v>
      </c>
      <c r="J13" s="14">
        <f t="shared" si="0"/>
        <v>17762500</v>
      </c>
      <c r="K13" s="21">
        <v>0</v>
      </c>
      <c r="L13" s="22">
        <v>0</v>
      </c>
      <c r="M13" s="22">
        <v>0</v>
      </c>
      <c r="N13" s="14">
        <f t="shared" si="1"/>
        <v>0</v>
      </c>
      <c r="O13" s="21">
        <v>0</v>
      </c>
      <c r="P13" s="22">
        <v>0</v>
      </c>
      <c r="Q13" s="22">
        <v>0</v>
      </c>
      <c r="R13" s="14">
        <f t="shared" si="2"/>
        <v>0</v>
      </c>
      <c r="S13" s="21">
        <v>0</v>
      </c>
      <c r="T13" s="22">
        <v>0</v>
      </c>
      <c r="U13" s="22">
        <v>0</v>
      </c>
      <c r="V13" s="14">
        <f t="shared" si="3"/>
        <v>0</v>
      </c>
      <c r="W13" s="21">
        <v>0</v>
      </c>
      <c r="X13" s="22">
        <v>0</v>
      </c>
      <c r="Y13" s="22">
        <v>0</v>
      </c>
      <c r="Z13" s="14">
        <f t="shared" si="4"/>
        <v>0</v>
      </c>
      <c r="AA13" s="21">
        <v>0</v>
      </c>
      <c r="AB13" s="22">
        <v>0</v>
      </c>
      <c r="AC13" s="22">
        <v>0</v>
      </c>
      <c r="AD13" s="14">
        <f t="shared" si="5"/>
        <v>0</v>
      </c>
    </row>
    <row r="14" spans="1:32" x14ac:dyDescent="0.25">
      <c r="B14" s="3" t="s">
        <v>7</v>
      </c>
      <c r="C14" s="21">
        <v>20</v>
      </c>
      <c r="D14" s="22"/>
      <c r="E14" s="22">
        <v>0</v>
      </c>
      <c r="F14" s="23">
        <v>0</v>
      </c>
      <c r="G14" s="21">
        <v>255000</v>
      </c>
      <c r="H14" s="21">
        <v>235500</v>
      </c>
      <c r="I14" s="21">
        <v>220000</v>
      </c>
      <c r="J14" s="14">
        <f t="shared" si="0"/>
        <v>14210000</v>
      </c>
      <c r="K14" s="21">
        <v>0</v>
      </c>
      <c r="L14" s="22">
        <v>0</v>
      </c>
      <c r="M14" s="22">
        <v>0</v>
      </c>
      <c r="N14" s="14">
        <f t="shared" si="1"/>
        <v>0</v>
      </c>
      <c r="O14" s="21">
        <v>0</v>
      </c>
      <c r="P14" s="22">
        <v>0</v>
      </c>
      <c r="Q14" s="22">
        <v>0</v>
      </c>
      <c r="R14" s="14">
        <f t="shared" si="2"/>
        <v>0</v>
      </c>
      <c r="S14" s="21">
        <v>0</v>
      </c>
      <c r="T14" s="22">
        <v>0</v>
      </c>
      <c r="U14" s="22">
        <v>0</v>
      </c>
      <c r="V14" s="14">
        <f t="shared" si="3"/>
        <v>0</v>
      </c>
      <c r="W14" s="21">
        <v>0</v>
      </c>
      <c r="X14" s="22">
        <v>0</v>
      </c>
      <c r="Y14" s="22">
        <v>0</v>
      </c>
      <c r="Z14" s="14">
        <f t="shared" si="4"/>
        <v>0</v>
      </c>
      <c r="AA14" s="21">
        <v>0</v>
      </c>
      <c r="AB14" s="22">
        <v>0</v>
      </c>
      <c r="AC14" s="22">
        <v>0</v>
      </c>
      <c r="AD14" s="14">
        <f t="shared" si="5"/>
        <v>0</v>
      </c>
    </row>
    <row r="15" spans="1:32" x14ac:dyDescent="0.25">
      <c r="B15" s="3" t="s">
        <v>8</v>
      </c>
      <c r="C15" s="21">
        <v>19</v>
      </c>
      <c r="D15" s="22"/>
      <c r="E15" s="22">
        <v>0</v>
      </c>
      <c r="F15" s="23">
        <v>0</v>
      </c>
      <c r="G15" s="21">
        <v>300000</v>
      </c>
      <c r="H15" s="21">
        <v>279000</v>
      </c>
      <c r="I15" s="21">
        <v>279000</v>
      </c>
      <c r="J15" s="14">
        <f t="shared" si="0"/>
        <v>16302000</v>
      </c>
      <c r="K15" s="21">
        <v>0</v>
      </c>
      <c r="L15" s="22">
        <v>0</v>
      </c>
      <c r="M15" s="22">
        <v>0</v>
      </c>
      <c r="N15" s="14">
        <f t="shared" si="1"/>
        <v>0</v>
      </c>
      <c r="O15" s="21">
        <v>0</v>
      </c>
      <c r="P15" s="22">
        <v>0</v>
      </c>
      <c r="Q15" s="22">
        <v>0</v>
      </c>
      <c r="R15" s="14">
        <f t="shared" si="2"/>
        <v>0</v>
      </c>
      <c r="S15" s="21">
        <v>0</v>
      </c>
      <c r="T15" s="22">
        <v>0</v>
      </c>
      <c r="U15" s="22">
        <v>0</v>
      </c>
      <c r="V15" s="14">
        <f t="shared" si="3"/>
        <v>0</v>
      </c>
      <c r="W15" s="21">
        <v>0</v>
      </c>
      <c r="X15" s="22">
        <v>0</v>
      </c>
      <c r="Y15" s="22">
        <v>0</v>
      </c>
      <c r="Z15" s="14">
        <f t="shared" si="4"/>
        <v>0</v>
      </c>
      <c r="AA15" s="21">
        <v>0</v>
      </c>
      <c r="AB15" s="22">
        <v>0</v>
      </c>
      <c r="AC15" s="22">
        <v>0</v>
      </c>
      <c r="AD15" s="14">
        <f t="shared" si="5"/>
        <v>0</v>
      </c>
    </row>
    <row r="16" spans="1:32" x14ac:dyDescent="0.25">
      <c r="B16" s="3" t="s">
        <v>9</v>
      </c>
      <c r="C16" s="21">
        <v>16</v>
      </c>
      <c r="D16" s="22"/>
      <c r="E16" s="22">
        <v>0</v>
      </c>
      <c r="F16" s="23">
        <v>0</v>
      </c>
      <c r="G16" s="21">
        <v>350000</v>
      </c>
      <c r="H16" s="21">
        <v>325000</v>
      </c>
      <c r="I16" s="21">
        <v>300000</v>
      </c>
      <c r="J16" s="14">
        <f t="shared" si="0"/>
        <v>15600000</v>
      </c>
      <c r="K16" s="21">
        <v>0</v>
      </c>
      <c r="L16" s="22">
        <v>0</v>
      </c>
      <c r="M16" s="22">
        <v>0</v>
      </c>
      <c r="N16" s="14">
        <f t="shared" si="1"/>
        <v>0</v>
      </c>
      <c r="O16" s="21">
        <v>0</v>
      </c>
      <c r="P16" s="22">
        <v>0</v>
      </c>
      <c r="Q16" s="22">
        <v>0</v>
      </c>
      <c r="R16" s="14">
        <f t="shared" si="2"/>
        <v>0</v>
      </c>
      <c r="S16" s="21">
        <v>0</v>
      </c>
      <c r="T16" s="22">
        <v>0</v>
      </c>
      <c r="U16" s="22">
        <v>0</v>
      </c>
      <c r="V16" s="14">
        <f t="shared" si="3"/>
        <v>0</v>
      </c>
      <c r="W16" s="21">
        <v>0</v>
      </c>
      <c r="X16" s="22">
        <v>0</v>
      </c>
      <c r="Y16" s="22">
        <v>0</v>
      </c>
      <c r="Z16" s="14">
        <f t="shared" si="4"/>
        <v>0</v>
      </c>
      <c r="AA16" s="21">
        <v>0</v>
      </c>
      <c r="AB16" s="22">
        <v>0</v>
      </c>
      <c r="AC16" s="22">
        <v>0</v>
      </c>
      <c r="AD16" s="14">
        <f t="shared" si="5"/>
        <v>0</v>
      </c>
    </row>
    <row r="17" spans="2:30" x14ac:dyDescent="0.25">
      <c r="B17" s="3" t="s">
        <v>10</v>
      </c>
      <c r="C17" s="21">
        <v>24</v>
      </c>
      <c r="D17" s="22"/>
      <c r="E17" s="22">
        <v>0</v>
      </c>
      <c r="F17" s="23">
        <v>0</v>
      </c>
      <c r="G17" s="21">
        <v>455000</v>
      </c>
      <c r="H17" s="21">
        <v>420000</v>
      </c>
      <c r="I17" s="21">
        <v>400000</v>
      </c>
      <c r="J17" s="14">
        <f t="shared" si="0"/>
        <v>30600000</v>
      </c>
      <c r="K17" s="21">
        <v>0</v>
      </c>
      <c r="L17" s="22">
        <v>0</v>
      </c>
      <c r="M17" s="22">
        <v>0</v>
      </c>
      <c r="N17" s="14">
        <f t="shared" si="1"/>
        <v>0</v>
      </c>
      <c r="O17" s="21">
        <v>0</v>
      </c>
      <c r="P17" s="22">
        <v>0</v>
      </c>
      <c r="Q17" s="22">
        <v>0</v>
      </c>
      <c r="R17" s="14">
        <f t="shared" si="2"/>
        <v>0</v>
      </c>
      <c r="S17" s="21">
        <v>0</v>
      </c>
      <c r="T17" s="22">
        <v>0</v>
      </c>
      <c r="U17" s="22">
        <v>0</v>
      </c>
      <c r="V17" s="14">
        <f t="shared" si="3"/>
        <v>0</v>
      </c>
      <c r="W17" s="21">
        <v>0</v>
      </c>
      <c r="X17" s="22">
        <v>0</v>
      </c>
      <c r="Y17" s="22">
        <v>0</v>
      </c>
      <c r="Z17" s="14">
        <f t="shared" si="4"/>
        <v>0</v>
      </c>
      <c r="AA17" s="21">
        <v>0</v>
      </c>
      <c r="AB17" s="22">
        <v>0</v>
      </c>
      <c r="AC17" s="22">
        <v>0</v>
      </c>
      <c r="AD17" s="14">
        <f t="shared" si="5"/>
        <v>0</v>
      </c>
    </row>
    <row r="18" spans="2:30" x14ac:dyDescent="0.25">
      <c r="B18" s="3" t="s">
        <v>11</v>
      </c>
      <c r="C18" s="21">
        <v>25</v>
      </c>
      <c r="D18" s="22"/>
      <c r="E18" s="22">
        <v>0</v>
      </c>
      <c r="F18" s="23">
        <v>0</v>
      </c>
      <c r="G18" s="21">
        <v>480000</v>
      </c>
      <c r="H18" s="21">
        <v>425000</v>
      </c>
      <c r="I18" s="21">
        <v>416000</v>
      </c>
      <c r="J18" s="14">
        <f t="shared" si="0"/>
        <v>33025000</v>
      </c>
      <c r="K18" s="21">
        <v>0</v>
      </c>
      <c r="L18" s="22">
        <v>0</v>
      </c>
      <c r="M18" s="22">
        <v>0</v>
      </c>
      <c r="N18" s="14">
        <f t="shared" si="1"/>
        <v>0</v>
      </c>
      <c r="O18" s="21">
        <v>0</v>
      </c>
      <c r="P18" s="22">
        <v>0</v>
      </c>
      <c r="Q18" s="22">
        <v>0</v>
      </c>
      <c r="R18" s="14">
        <f t="shared" si="2"/>
        <v>0</v>
      </c>
      <c r="S18" s="21">
        <v>0</v>
      </c>
      <c r="T18" s="22">
        <v>0</v>
      </c>
      <c r="U18" s="22">
        <v>0</v>
      </c>
      <c r="V18" s="14">
        <f t="shared" si="3"/>
        <v>0</v>
      </c>
      <c r="W18" s="21">
        <v>0</v>
      </c>
      <c r="X18" s="22">
        <v>0</v>
      </c>
      <c r="Y18" s="22">
        <v>0</v>
      </c>
      <c r="Z18" s="14">
        <f t="shared" si="4"/>
        <v>0</v>
      </c>
      <c r="AA18" s="21">
        <v>0</v>
      </c>
      <c r="AB18" s="22">
        <v>0</v>
      </c>
      <c r="AC18" s="22">
        <v>0</v>
      </c>
      <c r="AD18" s="14">
        <f t="shared" si="5"/>
        <v>0</v>
      </c>
    </row>
    <row r="19" spans="2:30" x14ac:dyDescent="0.25">
      <c r="B19" s="3" t="s">
        <v>99</v>
      </c>
      <c r="C19" s="21">
        <v>22</v>
      </c>
      <c r="D19" s="22"/>
      <c r="E19" s="22">
        <v>0</v>
      </c>
      <c r="F19" s="23">
        <v>0</v>
      </c>
      <c r="G19" s="21">
        <v>576500</v>
      </c>
      <c r="H19" s="21">
        <v>560000</v>
      </c>
      <c r="I19" s="21">
        <v>550000</v>
      </c>
      <c r="J19" s="14">
        <f t="shared" si="0"/>
        <v>37103000</v>
      </c>
      <c r="K19" s="21"/>
      <c r="L19" s="22"/>
      <c r="M19" s="22"/>
      <c r="N19" s="14"/>
      <c r="O19" s="21"/>
      <c r="P19" s="22"/>
      <c r="Q19" s="22"/>
      <c r="R19" s="14"/>
      <c r="S19" s="21"/>
      <c r="T19" s="22"/>
      <c r="U19" s="22"/>
      <c r="V19" s="14"/>
      <c r="W19" s="21"/>
      <c r="X19" s="22"/>
      <c r="Y19" s="22"/>
      <c r="Z19" s="14"/>
      <c r="AA19" s="21"/>
      <c r="AB19" s="22"/>
      <c r="AC19" s="22"/>
      <c r="AD19" s="14"/>
    </row>
    <row r="20" spans="2:30" s="4" customFormat="1" ht="12.75" x14ac:dyDescent="0.2">
      <c r="B20" s="69" t="s">
        <v>12</v>
      </c>
      <c r="C20" s="75">
        <f>SUM(C8:C19)</f>
        <v>289</v>
      </c>
      <c r="D20" s="76">
        <f>SUM(D8:D18)</f>
        <v>0</v>
      </c>
      <c r="E20" s="218">
        <v>0</v>
      </c>
      <c r="F20" s="219">
        <v>0</v>
      </c>
      <c r="G20" s="75"/>
      <c r="H20" s="76"/>
      <c r="I20" s="76"/>
      <c r="J20" s="78"/>
      <c r="K20" s="79"/>
      <c r="L20" s="80"/>
      <c r="M20" s="80"/>
      <c r="N20" s="78"/>
      <c r="O20" s="79"/>
      <c r="P20" s="80"/>
      <c r="Q20" s="80"/>
      <c r="R20" s="78"/>
      <c r="S20" s="79"/>
      <c r="T20" s="80"/>
      <c r="U20" s="80"/>
      <c r="V20" s="78"/>
      <c r="W20" s="79"/>
      <c r="X20" s="80"/>
      <c r="Y20" s="80"/>
      <c r="Z20" s="78"/>
      <c r="AA20" s="79"/>
      <c r="AB20" s="80"/>
      <c r="AC20" s="80"/>
      <c r="AD20" s="78"/>
    </row>
    <row r="21" spans="2:30" s="4" customFormat="1" ht="12.75" x14ac:dyDescent="0.2">
      <c r="B21" s="4" t="s">
        <v>13</v>
      </c>
      <c r="C21" s="16"/>
      <c r="D21" s="17"/>
      <c r="E21" s="17"/>
      <c r="F21" s="20"/>
      <c r="G21" s="16"/>
      <c r="H21" s="17"/>
      <c r="I21" s="17"/>
      <c r="J21" s="18">
        <f>SUM(J8:J20)</f>
        <v>250446500</v>
      </c>
      <c r="K21" s="16"/>
      <c r="L21" s="17"/>
      <c r="M21" s="17"/>
      <c r="N21" s="18">
        <f>SUM(N8:N20)</f>
        <v>0</v>
      </c>
      <c r="O21" s="16"/>
      <c r="P21" s="17"/>
      <c r="Q21" s="17"/>
      <c r="R21" s="19">
        <f>SUM(R8:R20)</f>
        <v>0</v>
      </c>
      <c r="S21" s="16"/>
      <c r="T21" s="17"/>
      <c r="U21" s="17"/>
      <c r="V21" s="18">
        <f>SUM(V8:V20)</f>
        <v>0</v>
      </c>
      <c r="W21" s="16"/>
      <c r="X21" s="17"/>
      <c r="Y21" s="17"/>
      <c r="Z21" s="18">
        <f>SUM(Z8:Z20)</f>
        <v>0</v>
      </c>
      <c r="AA21" s="16"/>
      <c r="AB21" s="17"/>
      <c r="AC21" s="17"/>
      <c r="AD21" s="18">
        <f>SUM(AD8:AD20)</f>
        <v>0</v>
      </c>
    </row>
    <row r="22" spans="2:30" ht="27" x14ac:dyDescent="0.25">
      <c r="B22" s="6" t="s">
        <v>58</v>
      </c>
      <c r="C22" s="81">
        <v>248990852.5</v>
      </c>
      <c r="J22" s="5"/>
      <c r="N22" s="5"/>
      <c r="R22" s="5"/>
      <c r="V22" s="5"/>
      <c r="Z22" s="5"/>
      <c r="AD22" s="5"/>
    </row>
    <row r="23" spans="2:30" x14ac:dyDescent="0.25">
      <c r="B23" s="3" t="s">
        <v>22</v>
      </c>
      <c r="C23" s="7">
        <f>(C22)/(J21+N21+R21+V21+Z21+AD21)</f>
        <v>0.99418779060597773</v>
      </c>
      <c r="J23" s="5"/>
      <c r="N23" s="7"/>
      <c r="R23" s="7"/>
      <c r="V23" s="7"/>
      <c r="Z23" s="7"/>
      <c r="AD23" s="7"/>
    </row>
    <row r="24" spans="2:30" x14ac:dyDescent="0.25">
      <c r="B24" s="3" t="s">
        <v>64</v>
      </c>
      <c r="C24" s="8">
        <f>J21/C20</f>
        <v>866596.88581314881</v>
      </c>
      <c r="J24" s="5"/>
      <c r="N24" s="7"/>
      <c r="R24" s="7"/>
      <c r="V24" s="7"/>
      <c r="Z24" s="7"/>
      <c r="AD24" s="7"/>
    </row>
    <row r="25" spans="2:30" x14ac:dyDescent="0.25">
      <c r="B25" s="3" t="s">
        <v>185</v>
      </c>
      <c r="C25" s="217">
        <v>28</v>
      </c>
      <c r="J25" s="5"/>
      <c r="N25" s="7"/>
      <c r="R25" s="7"/>
      <c r="V25" s="7"/>
      <c r="Z25" s="7"/>
      <c r="AD25" s="7"/>
    </row>
    <row r="26" spans="2:30" x14ac:dyDescent="0.25">
      <c r="J26" s="5"/>
    </row>
    <row r="27" spans="2:30" s="4" customFormat="1" ht="12.75" x14ac:dyDescent="0.2">
      <c r="B27" s="66" t="s">
        <v>23</v>
      </c>
      <c r="C27" s="68" t="s">
        <v>24</v>
      </c>
      <c r="D27" s="68" t="s">
        <v>100</v>
      </c>
    </row>
    <row r="28" spans="2:30" x14ac:dyDescent="0.25">
      <c r="B28" s="69" t="s">
        <v>102</v>
      </c>
      <c r="C28" s="70"/>
      <c r="D28" s="70"/>
    </row>
    <row r="29" spans="2:30" x14ac:dyDescent="0.25">
      <c r="B29" s="3" t="s">
        <v>25</v>
      </c>
      <c r="C29" s="5">
        <v>2420000</v>
      </c>
      <c r="D29" s="65">
        <f>C29*12</f>
        <v>29040000</v>
      </c>
    </row>
    <row r="30" spans="2:30" x14ac:dyDescent="0.25">
      <c r="B30" s="3" t="s">
        <v>26</v>
      </c>
      <c r="C30" s="5">
        <v>1580000</v>
      </c>
      <c r="D30" s="65">
        <f t="shared" ref="D30:D32" si="6">C30*12</f>
        <v>18960000</v>
      </c>
    </row>
    <row r="31" spans="2:30" x14ac:dyDescent="0.25">
      <c r="B31" s="3" t="s">
        <v>28</v>
      </c>
      <c r="C31" s="5">
        <v>500000</v>
      </c>
      <c r="D31" s="65">
        <f t="shared" si="6"/>
        <v>6000000</v>
      </c>
    </row>
    <row r="32" spans="2:30" x14ac:dyDescent="0.25">
      <c r="B32" s="3" t="s">
        <v>27</v>
      </c>
      <c r="C32" s="5">
        <v>600000</v>
      </c>
      <c r="D32" s="65">
        <f t="shared" si="6"/>
        <v>7200000</v>
      </c>
    </row>
    <row r="33" spans="2:7" s="4" customFormat="1" x14ac:dyDescent="0.25">
      <c r="B33" s="69" t="s">
        <v>29</v>
      </c>
      <c r="C33" s="69"/>
      <c r="D33" s="71"/>
    </row>
    <row r="34" spans="2:7" x14ac:dyDescent="0.25">
      <c r="B34" s="3" t="s">
        <v>30</v>
      </c>
      <c r="C34" s="5">
        <v>90000</v>
      </c>
      <c r="D34" s="65">
        <f>C34*12</f>
        <v>1080000</v>
      </c>
    </row>
    <row r="35" spans="2:7" x14ac:dyDescent="0.25">
      <c r="B35" s="3" t="s">
        <v>31</v>
      </c>
      <c r="C35" s="5">
        <v>320000</v>
      </c>
      <c r="D35" s="65">
        <f>C35*12</f>
        <v>3840000</v>
      </c>
    </row>
    <row r="36" spans="2:7" x14ac:dyDescent="0.25">
      <c r="B36" s="3" t="s">
        <v>32</v>
      </c>
      <c r="C36" s="5">
        <v>100000</v>
      </c>
      <c r="D36" s="65">
        <f>C36*1</f>
        <v>100000</v>
      </c>
    </row>
    <row r="37" spans="2:7" x14ac:dyDescent="0.25">
      <c r="B37" s="3" t="s">
        <v>19</v>
      </c>
      <c r="C37" s="5">
        <v>400000</v>
      </c>
      <c r="D37" s="65">
        <f>C37*12</f>
        <v>4800000</v>
      </c>
    </row>
    <row r="38" spans="2:7" x14ac:dyDescent="0.25">
      <c r="B38" s="3" t="s">
        <v>44</v>
      </c>
      <c r="C38" s="5">
        <v>0</v>
      </c>
      <c r="D38" s="65">
        <f t="shared" ref="D38:D40" si="7">C38*12</f>
        <v>0</v>
      </c>
    </row>
    <row r="39" spans="2:7" x14ac:dyDescent="0.25">
      <c r="B39" s="3" t="s">
        <v>33</v>
      </c>
      <c r="C39" s="5">
        <v>750000</v>
      </c>
      <c r="D39" s="65">
        <f t="shared" si="7"/>
        <v>9000000</v>
      </c>
    </row>
    <row r="40" spans="2:7" x14ac:dyDescent="0.25">
      <c r="B40" s="3" t="s">
        <v>34</v>
      </c>
      <c r="C40" s="5">
        <v>0</v>
      </c>
      <c r="D40" s="65">
        <f t="shared" si="7"/>
        <v>0</v>
      </c>
    </row>
    <row r="41" spans="2:7" x14ac:dyDescent="0.25">
      <c r="B41" s="3" t="s">
        <v>60</v>
      </c>
      <c r="C41" s="5">
        <v>340000</v>
      </c>
      <c r="D41" s="65">
        <f>C41*3</f>
        <v>1020000</v>
      </c>
    </row>
    <row r="42" spans="2:7" x14ac:dyDescent="0.25">
      <c r="B42" s="3" t="s">
        <v>35</v>
      </c>
      <c r="C42" s="5">
        <v>600000</v>
      </c>
      <c r="D42" s="65">
        <f>C42*12</f>
        <v>7200000</v>
      </c>
    </row>
    <row r="43" spans="2:7" x14ac:dyDescent="0.25">
      <c r="B43" s="3" t="s">
        <v>36</v>
      </c>
      <c r="C43" s="5">
        <v>300000</v>
      </c>
      <c r="D43" s="65">
        <f t="shared" ref="D43:D46" si="8">C43*12</f>
        <v>3600000</v>
      </c>
    </row>
    <row r="44" spans="2:7" x14ac:dyDescent="0.25">
      <c r="B44" s="3" t="s">
        <v>37</v>
      </c>
      <c r="C44" s="5">
        <v>350000</v>
      </c>
      <c r="D44" s="65">
        <f t="shared" si="8"/>
        <v>4200000</v>
      </c>
    </row>
    <row r="45" spans="2:7" x14ac:dyDescent="0.25">
      <c r="B45" s="3" t="s">
        <v>199</v>
      </c>
      <c r="C45" s="5">
        <v>325000</v>
      </c>
      <c r="D45" s="65">
        <f t="shared" si="8"/>
        <v>3900000</v>
      </c>
      <c r="F45" s="3" t="s">
        <v>202</v>
      </c>
      <c r="G45" s="5">
        <v>950000</v>
      </c>
    </row>
    <row r="46" spans="2:7" x14ac:dyDescent="0.25">
      <c r="B46" s="3" t="s">
        <v>92</v>
      </c>
      <c r="C46" s="5">
        <v>0</v>
      </c>
      <c r="D46" s="65">
        <f t="shared" si="8"/>
        <v>0</v>
      </c>
    </row>
    <row r="47" spans="2:7" s="4" customFormat="1" ht="12.75" x14ac:dyDescent="0.2">
      <c r="B47" s="69" t="s">
        <v>38</v>
      </c>
      <c r="C47" s="72">
        <f>SUM(C29:C32)+SUM(C34:C46)</f>
        <v>8675000</v>
      </c>
      <c r="D47" s="73">
        <f>SUM(D28:D46)</f>
        <v>99940000</v>
      </c>
    </row>
    <row r="48" spans="2:7" x14ac:dyDescent="0.25">
      <c r="B48" s="69" t="s">
        <v>45</v>
      </c>
      <c r="C48" s="70"/>
      <c r="D48" s="74">
        <f>C22-D47</f>
        <v>149050852.5</v>
      </c>
    </row>
    <row r="49" spans="2:4" x14ac:dyDescent="0.25">
      <c r="B49" s="26" t="s">
        <v>101</v>
      </c>
      <c r="D49" s="82">
        <v>0.3</v>
      </c>
    </row>
    <row r="50" spans="2:4" x14ac:dyDescent="0.25">
      <c r="B50" s="26" t="s">
        <v>174</v>
      </c>
      <c r="D50" s="83">
        <f>D49*D48</f>
        <v>44715255.75</v>
      </c>
    </row>
    <row r="51" spans="2:4" x14ac:dyDescent="0.25">
      <c r="B51" s="69" t="s">
        <v>103</v>
      </c>
      <c r="C51" s="70"/>
      <c r="D51" s="74">
        <f>(D48-D50)</f>
        <v>104335596.75</v>
      </c>
    </row>
  </sheetData>
  <mergeCells count="10">
    <mergeCell ref="C1:E1"/>
    <mergeCell ref="C2:E2"/>
    <mergeCell ref="B4:AF5"/>
    <mergeCell ref="C6:F6"/>
    <mergeCell ref="G6:J6"/>
    <mergeCell ref="K6:N6"/>
    <mergeCell ref="O6:R6"/>
    <mergeCell ref="S6:V6"/>
    <mergeCell ref="W6:Z6"/>
    <mergeCell ref="AA6:AD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E597-472B-4945-9A80-0110C1C78818}">
  <dimension ref="A1:Q61"/>
  <sheetViews>
    <sheetView tabSelected="1" topLeftCell="A22" zoomScaleNormal="100" workbookViewId="0">
      <pane xSplit="2" topLeftCell="C1" activePane="topRight" state="frozen"/>
      <selection pane="topRight" activeCell="C35" sqref="C35"/>
    </sheetView>
  </sheetViews>
  <sheetFormatPr defaultRowHeight="16.5" outlineLevelRow="1" x14ac:dyDescent="0.3"/>
  <cols>
    <col min="1" max="1" width="4.28515625" style="25" customWidth="1"/>
    <col min="2" max="2" width="65.28515625" style="1" bestFit="1" customWidth="1"/>
    <col min="3" max="3" width="24.140625" style="1" bestFit="1" customWidth="1"/>
    <col min="4" max="6" width="17.28515625" style="1" bestFit="1" customWidth="1"/>
    <col min="7" max="8" width="18.140625" style="1" bestFit="1" customWidth="1"/>
    <col min="9" max="9" width="15.7109375" style="1" bestFit="1" customWidth="1"/>
    <col min="10" max="10" width="13" style="1" customWidth="1"/>
    <col min="11" max="11" width="13.28515625" style="1" customWidth="1"/>
    <col min="12" max="12" width="9" style="1" customWidth="1"/>
    <col min="13" max="14" width="9.140625" style="1"/>
    <col min="15" max="15" width="12.7109375" style="1" bestFit="1" customWidth="1"/>
    <col min="16" max="16" width="18.140625" style="1" bestFit="1" customWidth="1"/>
    <col min="17" max="18" width="12.7109375" style="1" bestFit="1" customWidth="1"/>
    <col min="19" max="19" width="12.7109375" style="1" customWidth="1"/>
    <col min="20" max="20" width="74" style="1" bestFit="1" customWidth="1"/>
    <col min="21" max="16384" width="9.140625" style="1"/>
  </cols>
  <sheetData>
    <row r="1" spans="1:16" s="48" customFormat="1" ht="14.25" x14ac:dyDescent="0.3">
      <c r="A1" s="109"/>
      <c r="B1" s="110" t="s">
        <v>107</v>
      </c>
      <c r="C1" s="240" t="str">
        <f>'Cover Page'!C1:F1</f>
        <v>XYZ International School</v>
      </c>
      <c r="D1" s="240"/>
      <c r="E1" s="240"/>
    </row>
    <row r="2" spans="1:16" s="112" customFormat="1" ht="14.25" x14ac:dyDescent="0.3">
      <c r="A2" s="111"/>
      <c r="B2" s="110" t="s">
        <v>108</v>
      </c>
      <c r="C2" s="241">
        <f>'Cover Page'!C4:F4</f>
        <v>150000000</v>
      </c>
      <c r="D2" s="240"/>
      <c r="E2" s="240"/>
    </row>
    <row r="4" spans="1:16" s="38" customFormat="1" ht="17.25" x14ac:dyDescent="0.3">
      <c r="A4" s="63"/>
      <c r="B4" s="253" t="s">
        <v>82</v>
      </c>
      <c r="C4" s="253"/>
      <c r="D4" s="253"/>
      <c r="E4" s="253"/>
      <c r="F4" s="253"/>
      <c r="G4" s="253"/>
      <c r="H4" s="1"/>
      <c r="I4" s="1"/>
      <c r="J4" s="1"/>
      <c r="K4" s="1"/>
      <c r="L4" s="1"/>
      <c r="M4" s="1"/>
      <c r="N4" s="1"/>
      <c r="O4" s="1"/>
      <c r="P4" s="1"/>
    </row>
    <row r="5" spans="1:16" s="3" customFormat="1" ht="13.5" x14ac:dyDescent="0.25">
      <c r="A5" s="26"/>
    </row>
    <row r="6" spans="1:16" x14ac:dyDescent="0.3">
      <c r="B6" s="254" t="s">
        <v>83</v>
      </c>
      <c r="C6" s="254"/>
      <c r="D6" s="254"/>
      <c r="E6" s="254"/>
      <c r="F6" s="254"/>
      <c r="G6" s="254"/>
      <c r="H6" s="3"/>
      <c r="I6" s="3"/>
      <c r="J6" s="3"/>
      <c r="K6" s="3"/>
      <c r="L6" s="3"/>
      <c r="M6" s="3"/>
      <c r="N6" s="3"/>
      <c r="O6" s="3"/>
      <c r="P6" s="3"/>
    </row>
    <row r="7" spans="1:16" s="3" customFormat="1" ht="13.5" x14ac:dyDescent="0.25">
      <c r="A7" s="26"/>
      <c r="B7" s="28"/>
      <c r="C7" s="29"/>
      <c r="D7" s="29"/>
      <c r="E7" s="29"/>
      <c r="F7" s="33"/>
      <c r="G7" s="32"/>
      <c r="H7" s="32"/>
      <c r="I7" s="32"/>
      <c r="J7" s="32"/>
      <c r="K7" s="28"/>
      <c r="L7" s="28"/>
      <c r="M7" s="28"/>
      <c r="N7" s="28"/>
      <c r="O7" s="28"/>
    </row>
    <row r="8" spans="1:16" s="3" customFormat="1" ht="13.5" x14ac:dyDescent="0.25">
      <c r="A8" s="26"/>
      <c r="B8" s="28"/>
      <c r="C8" s="29" t="s">
        <v>104</v>
      </c>
      <c r="D8" s="29"/>
      <c r="E8" s="29"/>
      <c r="F8" s="33"/>
      <c r="G8" s="32"/>
      <c r="H8" s="32"/>
      <c r="I8" s="32"/>
      <c r="J8" s="32"/>
      <c r="K8" s="28"/>
      <c r="L8" s="28"/>
      <c r="M8" s="28"/>
      <c r="N8" s="28"/>
      <c r="O8" s="28"/>
    </row>
    <row r="9" spans="1:16" s="3" customFormat="1" x14ac:dyDescent="0.3">
      <c r="A9" s="26"/>
      <c r="B9" s="43" t="s">
        <v>94</v>
      </c>
      <c r="C9" s="49">
        <v>2</v>
      </c>
      <c r="D9" s="50">
        <v>1</v>
      </c>
      <c r="E9" s="50">
        <v>2</v>
      </c>
      <c r="F9" s="50">
        <v>3</v>
      </c>
      <c r="G9" s="51"/>
      <c r="H9" s="28"/>
      <c r="I9" s="28"/>
      <c r="J9" s="28"/>
      <c r="K9" s="28"/>
      <c r="L9" s="28"/>
      <c r="M9" s="28"/>
    </row>
    <row r="10" spans="1:16" s="3" customFormat="1" ht="13.5" x14ac:dyDescent="0.25">
      <c r="A10" s="26"/>
      <c r="B10" s="34"/>
      <c r="C10" s="95"/>
      <c r="D10" s="35" t="s">
        <v>95</v>
      </c>
      <c r="E10" s="35" t="s">
        <v>178</v>
      </c>
      <c r="F10" s="35" t="s">
        <v>96</v>
      </c>
      <c r="G10" s="34"/>
    </row>
    <row r="11" spans="1:16" s="3" customFormat="1" ht="13.5" outlineLevel="1" x14ac:dyDescent="0.25">
      <c r="A11" s="26"/>
      <c r="B11" s="36" t="s">
        <v>86</v>
      </c>
      <c r="C11" s="59">
        <f>CHOOSE($C$9,D11,E11,F11,G11)</f>
        <v>-1.274412107922248E-2</v>
      </c>
      <c r="D11" s="39">
        <f>-1*($E$11)</f>
        <v>1.274412107922248E-2</v>
      </c>
      <c r="E11" s="39">
        <f>Ratios!$A$8</f>
        <v>-1.274412107922248E-2</v>
      </c>
      <c r="F11" s="39">
        <f>$E$11*2</f>
        <v>-2.548824215844496E-2</v>
      </c>
      <c r="G11" s="40"/>
    </row>
    <row r="12" spans="1:16" s="3" customFormat="1" ht="13.5" outlineLevel="1" x14ac:dyDescent="0.25">
      <c r="A12" s="26"/>
      <c r="B12" s="36" t="s">
        <v>85</v>
      </c>
      <c r="C12" s="60">
        <f>CHOOSE($C$9,D12,E12,F12,H11)</f>
        <v>0.13779527559055119</v>
      </c>
      <c r="D12" s="39">
        <f>-1*$E$12</f>
        <v>-0.13779527559055119</v>
      </c>
      <c r="E12" s="39">
        <f>Ratios!$E$3</f>
        <v>0.13779527559055119</v>
      </c>
      <c r="F12" s="39">
        <f>$E$12*2</f>
        <v>0.27559055118110237</v>
      </c>
      <c r="G12" s="40"/>
    </row>
    <row r="13" spans="1:16" s="3" customFormat="1" ht="13.5" outlineLevel="1" x14ac:dyDescent="0.25">
      <c r="A13" s="26"/>
      <c r="B13" s="36" t="s">
        <v>121</v>
      </c>
      <c r="C13" s="60">
        <f>CHOOSE($C$9,D13,E13,F13,H12)</f>
        <v>7.6923076923076927E-2</v>
      </c>
      <c r="D13" s="39">
        <f>-1*$E$13</f>
        <v>-7.6923076923076927E-2</v>
      </c>
      <c r="E13" s="39">
        <f>Ratios!E4</f>
        <v>7.6923076923076927E-2</v>
      </c>
      <c r="F13" s="39">
        <f>$E$13*2</f>
        <v>0.15384615384615385</v>
      </c>
      <c r="G13" s="40"/>
    </row>
    <row r="14" spans="1:16" s="3" customFormat="1" ht="13.5" outlineLevel="1" x14ac:dyDescent="0.25">
      <c r="A14" s="26"/>
      <c r="B14" s="46" t="s">
        <v>93</v>
      </c>
      <c r="C14" s="62">
        <f>CHOOSE($C$9,D14,E14,F14,G14)</f>
        <v>0.3</v>
      </c>
      <c r="D14" s="41">
        <v>0.3</v>
      </c>
      <c r="E14" s="41">
        <v>0.3</v>
      </c>
      <c r="F14" s="41">
        <v>0.3</v>
      </c>
      <c r="G14" s="40"/>
    </row>
    <row r="15" spans="1:16" s="3" customFormat="1" ht="13.5" outlineLevel="1" x14ac:dyDescent="0.25">
      <c r="A15" s="26"/>
      <c r="B15" s="36" t="s">
        <v>118</v>
      </c>
      <c r="C15" s="61">
        <f>CHOOSE($C$9,D15,E15,F15,G15)</f>
        <v>-5.7800000000000004E-2</v>
      </c>
      <c r="D15" s="41">
        <f>'Macro Econ'!$D$22</f>
        <v>-0.1013</v>
      </c>
      <c r="E15" s="41">
        <f>'Macro Econ'!$D$7</f>
        <v>-5.7800000000000004E-2</v>
      </c>
      <c r="F15" s="41">
        <f>'Macro Econ'!$D$15</f>
        <v>-4.2700000000000002E-2</v>
      </c>
      <c r="G15" s="40"/>
    </row>
    <row r="16" spans="1:16" s="3" customFormat="1" ht="13.5" outlineLevel="1" x14ac:dyDescent="0.25">
      <c r="A16" s="26"/>
      <c r="B16" s="58"/>
      <c r="C16" s="62"/>
      <c r="D16" s="41"/>
      <c r="E16" s="41"/>
      <c r="F16" s="41"/>
      <c r="G16" s="40"/>
    </row>
    <row r="17" spans="1:17" s="3" customFormat="1" ht="13.5" x14ac:dyDescent="0.25">
      <c r="A17" s="26"/>
    </row>
    <row r="18" spans="1:17" s="28" customFormat="1" ht="13.5" x14ac:dyDescent="0.25">
      <c r="A18" s="27"/>
      <c r="B18" s="43" t="s">
        <v>80</v>
      </c>
      <c r="C18" s="44">
        <f>2023</f>
        <v>2023</v>
      </c>
      <c r="D18" s="44">
        <f>C18+1</f>
        <v>2024</v>
      </c>
      <c r="E18" s="44">
        <f>D18+1</f>
        <v>2025</v>
      </c>
      <c r="F18" s="44">
        <f>E18+1</f>
        <v>2026</v>
      </c>
      <c r="G18" s="44">
        <f>F18+1</f>
        <v>2027</v>
      </c>
      <c r="H18" s="44">
        <f>G18+1</f>
        <v>2028</v>
      </c>
      <c r="I18" s="45"/>
      <c r="J18" s="45" t="s">
        <v>81</v>
      </c>
      <c r="K18" s="45"/>
      <c r="L18" s="45"/>
    </row>
    <row r="19" spans="1:17" s="3" customFormat="1" ht="13.5" outlineLevel="1" x14ac:dyDescent="0.25">
      <c r="A19" s="26"/>
      <c r="C19" s="42" t="s">
        <v>90</v>
      </c>
      <c r="D19" s="42" t="s">
        <v>90</v>
      </c>
      <c r="E19" s="42" t="s">
        <v>91</v>
      </c>
      <c r="F19" s="42" t="s">
        <v>91</v>
      </c>
      <c r="G19" s="42" t="s">
        <v>91</v>
      </c>
      <c r="H19" s="42" t="s">
        <v>91</v>
      </c>
    </row>
    <row r="20" spans="1:17" s="31" customFormat="1" ht="13.5" outlineLevel="1" x14ac:dyDescent="0.25">
      <c r="A20" s="30"/>
      <c r="B20" s="29" t="s">
        <v>119</v>
      </c>
      <c r="C20" s="39">
        <f>C15</f>
        <v>-5.7800000000000004E-2</v>
      </c>
      <c r="D20" s="37">
        <f>IF(C15=D15,-5.5%-4.3%,IF(C15=F15,-5.5%+1.5%,'Macro Econ'!$K$16))</f>
        <v>-5.4899999999999997E-2</v>
      </c>
      <c r="E20" s="39">
        <f>D20-D21</f>
        <v>-5.1999999999999991E-2</v>
      </c>
      <c r="F20" s="39">
        <f>E20-E21</f>
        <v>-4.9099999999999984E-2</v>
      </c>
      <c r="G20" s="39">
        <f>F20-F21</f>
        <v>-4.6199999999999977E-2</v>
      </c>
      <c r="H20" s="39">
        <f>G20-G21</f>
        <v>-4.329999999999997E-2</v>
      </c>
      <c r="I20" s="114">
        <f>$D$21</f>
        <v>-2.9000000000000067E-3</v>
      </c>
      <c r="J20" s="250" t="s">
        <v>120</v>
      </c>
      <c r="K20" s="251"/>
      <c r="L20" s="252"/>
      <c r="P20" s="3"/>
      <c r="Q20" s="3"/>
    </row>
    <row r="21" spans="1:17" s="57" customFormat="1" ht="14.25" outlineLevel="1" x14ac:dyDescent="0.3">
      <c r="A21" s="64"/>
      <c r="B21" s="52" t="s">
        <v>97</v>
      </c>
      <c r="C21" s="53"/>
      <c r="D21" s="53">
        <f>C20-D20</f>
        <v>-2.9000000000000067E-3</v>
      </c>
      <c r="E21" s="53">
        <f>D20-E20</f>
        <v>-2.9000000000000067E-3</v>
      </c>
      <c r="F21" s="53">
        <f>E20-F20</f>
        <v>-2.9000000000000067E-3</v>
      </c>
      <c r="G21" s="53">
        <f>F20-G20</f>
        <v>-2.9000000000000067E-3</v>
      </c>
      <c r="H21" s="53">
        <f>G20-H20</f>
        <v>-2.9000000000000067E-3</v>
      </c>
      <c r="I21" s="54"/>
      <c r="J21" s="55"/>
      <c r="K21" s="55"/>
      <c r="L21" s="55"/>
      <c r="P21" s="56"/>
      <c r="Q21" s="56"/>
    </row>
    <row r="22" spans="1:17" x14ac:dyDescent="0.3">
      <c r="I22" s="86"/>
      <c r="J22" s="86"/>
      <c r="K22" s="86"/>
      <c r="L22" s="86"/>
      <c r="M22" s="86"/>
      <c r="N22" s="86"/>
      <c r="O22" s="86"/>
    </row>
    <row r="23" spans="1:17" s="38" customFormat="1" ht="17.25" x14ac:dyDescent="0.3">
      <c r="A23" s="63"/>
      <c r="B23" s="253" t="s">
        <v>89</v>
      </c>
      <c r="C23" s="253"/>
      <c r="D23" s="253"/>
      <c r="E23" s="253"/>
      <c r="F23" s="253"/>
      <c r="G23" s="253"/>
      <c r="H23" s="253"/>
      <c r="I23" s="86"/>
      <c r="J23" s="86"/>
      <c r="K23" s="86"/>
      <c r="L23" s="86"/>
      <c r="M23" s="86"/>
      <c r="N23" s="86"/>
      <c r="O23" s="86"/>
    </row>
    <row r="24" spans="1:17" x14ac:dyDescent="0.3">
      <c r="I24" s="86"/>
      <c r="J24" s="86"/>
      <c r="K24" s="86"/>
      <c r="L24" s="86"/>
      <c r="M24" s="86"/>
      <c r="N24" s="86"/>
      <c r="O24" s="86"/>
    </row>
    <row r="25" spans="1:17" s="2" customFormat="1" ht="14.25" x14ac:dyDescent="0.2">
      <c r="A25" s="24"/>
      <c r="B25" s="87" t="s">
        <v>98</v>
      </c>
      <c r="C25" s="228" t="s">
        <v>39</v>
      </c>
      <c r="D25" s="88" t="s">
        <v>40</v>
      </c>
      <c r="E25" s="88" t="s">
        <v>41</v>
      </c>
      <c r="F25" s="88" t="s">
        <v>42</v>
      </c>
      <c r="G25" s="88" t="s">
        <v>43</v>
      </c>
      <c r="H25" s="88" t="s">
        <v>84</v>
      </c>
    </row>
    <row r="26" spans="1:17" s="2" customFormat="1" ht="16.5" customHeight="1" x14ac:dyDescent="0.2">
      <c r="A26" s="24"/>
      <c r="B26" s="89" t="s">
        <v>157</v>
      </c>
      <c r="C26" s="229"/>
      <c r="D26" s="90"/>
      <c r="E26" s="90"/>
      <c r="F26" s="90"/>
      <c r="G26" s="90"/>
      <c r="H26" s="90"/>
    </row>
    <row r="27" spans="1:17" s="51" customFormat="1" x14ac:dyDescent="0.3">
      <c r="A27" s="94"/>
      <c r="B27" s="51" t="s">
        <v>151</v>
      </c>
      <c r="C27" s="84">
        <f>'Curr Yr Annual Statements'!J21/'Curr Yr Annual Statements'!C20</f>
        <v>866596.88581314881</v>
      </c>
      <c r="D27" s="47">
        <f>C27*(1+$C$11)</f>
        <v>855552.87017346884</v>
      </c>
      <c r="E27" s="47">
        <f t="shared" ref="E27:H27" si="0">D27*(1+$C$11)</f>
        <v>844649.60080630181</v>
      </c>
      <c r="F27" s="47">
        <f t="shared" si="0"/>
        <v>833885.28402410937</v>
      </c>
      <c r="G27" s="47">
        <f t="shared" si="0"/>
        <v>823258.14899832429</v>
      </c>
      <c r="H27" s="47">
        <f t="shared" si="0"/>
        <v>812766.44746803306</v>
      </c>
      <c r="L27" s="85"/>
      <c r="M27" s="85"/>
      <c r="N27" s="85"/>
      <c r="O27" s="85"/>
      <c r="P27" s="85"/>
    </row>
    <row r="28" spans="1:17" s="51" customFormat="1" x14ac:dyDescent="0.3">
      <c r="A28" s="94"/>
      <c r="B28" s="51" t="s">
        <v>152</v>
      </c>
      <c r="C28" s="159">
        <f>'Curr Yr Annual Statements'!C20</f>
        <v>289</v>
      </c>
      <c r="D28" s="159">
        <f>C28*(1+$C$12)</f>
        <v>328.82283464566927</v>
      </c>
      <c r="E28" s="159">
        <f>D28*(1+$C$12)</f>
        <v>374.13306776613553</v>
      </c>
      <c r="F28" s="159">
        <f t="shared" ref="F28:H28" si="1">E28*(1+$C$12)</f>
        <v>425.68683694650855</v>
      </c>
      <c r="G28" s="159">
        <f t="shared" si="1"/>
        <v>484.34447195882274</v>
      </c>
      <c r="H28" s="159">
        <f t="shared" si="1"/>
        <v>551.0848519531487</v>
      </c>
      <c r="L28" s="86"/>
      <c r="M28" s="86"/>
      <c r="N28" s="86"/>
      <c r="O28" s="86"/>
    </row>
    <row r="29" spans="1:17" s="51" customFormat="1" x14ac:dyDescent="0.3">
      <c r="A29" s="94"/>
      <c r="B29" s="208" t="s">
        <v>181</v>
      </c>
      <c r="C29" s="209">
        <f>C35/(C27*C28)</f>
        <v>0.3990473015194862</v>
      </c>
      <c r="D29" s="209">
        <f t="shared" ref="D29:H29" si="2">D35/(D27*D28)</f>
        <v>0.37702349781046501</v>
      </c>
      <c r="E29" s="209">
        <f t="shared" si="2"/>
        <v>0.35556046720980167</v>
      </c>
      <c r="F29" s="209">
        <f t="shared" si="2"/>
        <v>0.33471506583969629</v>
      </c>
      <c r="G29" s="209">
        <f t="shared" si="2"/>
        <v>0.31453721176212274</v>
      </c>
      <c r="H29" s="209">
        <f t="shared" si="2"/>
        <v>0.29506971776853336</v>
      </c>
      <c r="L29" s="86"/>
      <c r="M29" s="86"/>
      <c r="N29" s="86"/>
      <c r="O29" s="86"/>
    </row>
    <row r="30" spans="1:17" s="94" customFormat="1" x14ac:dyDescent="0.3">
      <c r="B30" s="94" t="s">
        <v>153</v>
      </c>
      <c r="C30" s="165">
        <f>'Curr Yr Annual Statements'!C23</f>
        <v>0.99418779060597773</v>
      </c>
      <c r="D30" s="108">
        <f>C30*(1+D20)</f>
        <v>0.93960688090170963</v>
      </c>
      <c r="E30" s="108">
        <f>D30*(1+E20)</f>
        <v>0.89074732309482063</v>
      </c>
      <c r="F30" s="108">
        <f t="shared" ref="F30:H30" si="3">E30*(1+F20)</f>
        <v>0.84701162953086495</v>
      </c>
      <c r="G30" s="108">
        <f t="shared" si="3"/>
        <v>0.80787969224653899</v>
      </c>
      <c r="H30" s="108">
        <f t="shared" si="3"/>
        <v>0.77289850157226381</v>
      </c>
    </row>
    <row r="31" spans="1:17" s="51" customFormat="1" x14ac:dyDescent="0.3">
      <c r="A31" s="94"/>
      <c r="B31" s="50" t="s">
        <v>154</v>
      </c>
      <c r="C31" s="152">
        <f t="shared" ref="C31:H31" si="4">C27*C28*C30</f>
        <v>248990852.5</v>
      </c>
      <c r="D31" s="152">
        <f t="shared" si="4"/>
        <v>264335206.40598878</v>
      </c>
      <c r="E31" s="152">
        <f t="shared" si="4"/>
        <v>281486260.81736511</v>
      </c>
      <c r="F31" s="152">
        <f t="shared" si="4"/>
        <v>300667096.80675757</v>
      </c>
      <c r="G31" s="152">
        <f t="shared" si="4"/>
        <v>322134379.45981741</v>
      </c>
      <c r="H31" s="152">
        <f t="shared" si="4"/>
        <v>346183771.93275863</v>
      </c>
    </row>
    <row r="32" spans="1:17" s="51" customFormat="1" x14ac:dyDescent="0.3">
      <c r="A32" s="94"/>
      <c r="B32" s="153" t="s">
        <v>23</v>
      </c>
      <c r="C32" s="154"/>
      <c r="D32" s="154"/>
      <c r="E32" s="154"/>
      <c r="F32" s="154"/>
      <c r="G32" s="154"/>
      <c r="H32" s="154"/>
    </row>
    <row r="33" spans="1:8" s="51" customFormat="1" x14ac:dyDescent="0.3">
      <c r="A33" s="94"/>
      <c r="B33" s="51" t="s">
        <v>155</v>
      </c>
      <c r="C33" s="47">
        <f>Ratios!B12</f>
        <v>29040000</v>
      </c>
      <c r="D33" s="47">
        <f>C33*(1+$C$13)</f>
        <v>31273846.153846152</v>
      </c>
      <c r="E33" s="47">
        <f t="shared" ref="E33:H33" si="5">D33*(1+$C$13)</f>
        <v>33679526.627218932</v>
      </c>
      <c r="F33" s="47">
        <f t="shared" si="5"/>
        <v>36270259.444697313</v>
      </c>
      <c r="G33" s="47">
        <f t="shared" si="5"/>
        <v>39060279.401981719</v>
      </c>
      <c r="H33" s="47">
        <f t="shared" si="5"/>
        <v>42064916.279057235</v>
      </c>
    </row>
    <row r="34" spans="1:8" s="51" customFormat="1" x14ac:dyDescent="0.3">
      <c r="A34" s="94"/>
      <c r="B34" s="51" t="s">
        <v>156</v>
      </c>
      <c r="C34" s="150">
        <f>Ratios!B13</f>
        <v>70900000</v>
      </c>
      <c r="D34" s="150">
        <f>C34*(1-D20)</f>
        <v>74792410</v>
      </c>
      <c r="E34" s="150">
        <f>D34*(1-E20)</f>
        <v>78681615.320000008</v>
      </c>
      <c r="F34" s="150">
        <f>E34*(1-F20)</f>
        <v>82544882.632211998</v>
      </c>
      <c r="G34" s="150">
        <f>F34*(1-G20)</f>
        <v>86358456.209820196</v>
      </c>
      <c r="H34" s="150">
        <f>G34*(1-H20)</f>
        <v>90097777.363705397</v>
      </c>
    </row>
    <row r="35" spans="1:8" s="51" customFormat="1" x14ac:dyDescent="0.3">
      <c r="A35" s="94"/>
      <c r="B35" s="51" t="s">
        <v>38</v>
      </c>
      <c r="C35" s="47">
        <f>C33+C34</f>
        <v>99940000</v>
      </c>
      <c r="D35" s="47">
        <f t="shared" ref="D35:H35" si="6">D33+D34</f>
        <v>106066256.15384614</v>
      </c>
      <c r="E35" s="47">
        <f t="shared" si="6"/>
        <v>112361141.94721894</v>
      </c>
      <c r="F35" s="47">
        <f t="shared" si="6"/>
        <v>118815142.0769093</v>
      </c>
      <c r="G35" s="47">
        <f t="shared" si="6"/>
        <v>125418735.61180192</v>
      </c>
      <c r="H35" s="47">
        <f t="shared" si="6"/>
        <v>132162693.64276263</v>
      </c>
    </row>
    <row r="36" spans="1:8" s="231" customFormat="1" ht="15" thickBot="1" x14ac:dyDescent="0.25">
      <c r="B36" s="231" t="s">
        <v>45</v>
      </c>
      <c r="C36" s="232">
        <f>C31-C35</f>
        <v>149050852.5</v>
      </c>
      <c r="D36" s="232">
        <f t="shared" ref="D36:H36" si="7">D31-D35</f>
        <v>158268950.25214264</v>
      </c>
      <c r="E36" s="232">
        <f t="shared" si="7"/>
        <v>169125118.87014616</v>
      </c>
      <c r="F36" s="232">
        <f t="shared" si="7"/>
        <v>181851954.72984827</v>
      </c>
      <c r="G36" s="232">
        <f t="shared" si="7"/>
        <v>196715643.84801549</v>
      </c>
      <c r="H36" s="232">
        <f t="shared" si="7"/>
        <v>214021078.289996</v>
      </c>
    </row>
    <row r="37" spans="1:8" ht="17.25" thickTop="1" x14ac:dyDescent="0.3">
      <c r="B37" s="1" t="s">
        <v>46</v>
      </c>
      <c r="C37" s="151">
        <f>C36*$C$14</f>
        <v>44715255.75</v>
      </c>
      <c r="D37" s="151">
        <f t="shared" ref="D37:H37" si="8">D36*$C$14</f>
        <v>47480685.075642787</v>
      </c>
      <c r="E37" s="151">
        <f t="shared" si="8"/>
        <v>50737535.661043845</v>
      </c>
      <c r="F37" s="151">
        <f t="shared" si="8"/>
        <v>54555586.418954477</v>
      </c>
      <c r="G37" s="151">
        <f t="shared" si="8"/>
        <v>59014693.154404648</v>
      </c>
      <c r="H37" s="151">
        <f t="shared" si="8"/>
        <v>64206323.486998796</v>
      </c>
    </row>
    <row r="38" spans="1:8" s="231" customFormat="1" ht="15" thickBot="1" x14ac:dyDescent="0.25">
      <c r="B38" s="231" t="s">
        <v>47</v>
      </c>
      <c r="C38" s="233">
        <f>C36-C37</f>
        <v>104335596.75</v>
      </c>
      <c r="D38" s="233">
        <f t="shared" ref="D38:G38" si="9">D36-D37</f>
        <v>110788265.17649984</v>
      </c>
      <c r="E38" s="233">
        <f t="shared" si="9"/>
        <v>118387583.2091023</v>
      </c>
      <c r="F38" s="233">
        <f t="shared" si="9"/>
        <v>127296368.31089379</v>
      </c>
      <c r="G38" s="233">
        <f t="shared" si="9"/>
        <v>137700950.69361085</v>
      </c>
      <c r="H38" s="233">
        <f t="shared" ref="H38" si="10">H36-H37</f>
        <v>149814754.8029972</v>
      </c>
    </row>
    <row r="39" spans="1:8" s="91" customFormat="1" x14ac:dyDescent="0.3">
      <c r="A39" s="93"/>
      <c r="C39" s="107"/>
      <c r="D39" s="107"/>
      <c r="E39" s="107"/>
      <c r="F39" s="107"/>
      <c r="G39" s="107"/>
      <c r="H39" s="107"/>
    </row>
    <row r="40" spans="1:8" s="91" customFormat="1" x14ac:dyDescent="0.3">
      <c r="A40" s="160"/>
      <c r="B40" s="160"/>
      <c r="C40" s="161"/>
      <c r="D40" s="161"/>
      <c r="E40" s="161"/>
      <c r="F40" s="161"/>
      <c r="G40" s="161"/>
      <c r="H40" s="161"/>
    </row>
    <row r="41" spans="1:8" s="91" customFormat="1" x14ac:dyDescent="0.3">
      <c r="A41" s="93"/>
      <c r="C41" s="92"/>
      <c r="D41" s="92"/>
      <c r="E41" s="92"/>
      <c r="F41" s="92"/>
      <c r="G41" s="92"/>
      <c r="H41" s="92"/>
    </row>
    <row r="42" spans="1:8" s="91" customFormat="1" x14ac:dyDescent="0.3">
      <c r="A42" s="93"/>
      <c r="B42" s="170" t="s">
        <v>53</v>
      </c>
      <c r="C42" s="171"/>
      <c r="D42" s="171"/>
      <c r="E42" s="171"/>
      <c r="F42" s="171"/>
      <c r="G42" s="171"/>
      <c r="H42" s="171"/>
    </row>
    <row r="43" spans="1:8" x14ac:dyDescent="0.3">
      <c r="B43" s="1" t="s">
        <v>61</v>
      </c>
      <c r="C43" s="151">
        <f t="shared" ref="C43:H43" si="11">C38</f>
        <v>104335596.75</v>
      </c>
      <c r="D43" s="151">
        <f t="shared" si="11"/>
        <v>110788265.17649984</v>
      </c>
      <c r="E43" s="151">
        <f t="shared" si="11"/>
        <v>118387583.2091023</v>
      </c>
      <c r="F43" s="151">
        <f t="shared" si="11"/>
        <v>127296368.31089379</v>
      </c>
      <c r="G43" s="151">
        <f t="shared" si="11"/>
        <v>137700950.69361085</v>
      </c>
      <c r="H43" s="151">
        <f t="shared" si="11"/>
        <v>149814754.8029972</v>
      </c>
    </row>
    <row r="44" spans="1:8" s="155" customFormat="1" x14ac:dyDescent="0.3">
      <c r="A44" s="157"/>
      <c r="B44" s="51" t="s">
        <v>158</v>
      </c>
      <c r="C44" s="164">
        <v>0.35</v>
      </c>
      <c r="D44" s="164">
        <v>0.35</v>
      </c>
      <c r="E44" s="164">
        <v>0.35</v>
      </c>
      <c r="F44" s="164">
        <v>0.35</v>
      </c>
      <c r="G44" s="164">
        <v>0.35</v>
      </c>
      <c r="H44" s="164">
        <v>0.35</v>
      </c>
    </row>
    <row r="45" spans="1:8" x14ac:dyDescent="0.3">
      <c r="B45" s="1" t="s">
        <v>159</v>
      </c>
      <c r="C45" s="151">
        <f t="shared" ref="C45:H45" si="12">C44*C31</f>
        <v>87146798.375</v>
      </c>
      <c r="D45" s="151">
        <f t="shared" si="12"/>
        <v>92517322.242096066</v>
      </c>
      <c r="E45" s="151">
        <f t="shared" si="12"/>
        <v>98520191.286077783</v>
      </c>
      <c r="F45" s="151">
        <f t="shared" si="12"/>
        <v>105233483.88236514</v>
      </c>
      <c r="G45" s="151">
        <f t="shared" si="12"/>
        <v>112747032.81093609</v>
      </c>
      <c r="H45" s="151">
        <f t="shared" si="12"/>
        <v>121164320.17646551</v>
      </c>
    </row>
    <row r="46" spans="1:8" x14ac:dyDescent="0.3">
      <c r="B46" s="1" t="s">
        <v>54</v>
      </c>
      <c r="C46" s="151">
        <f>IF(C43&lt;C45,C43/12,C45/12)</f>
        <v>7262233.197916667</v>
      </c>
      <c r="D46" s="151">
        <f t="shared" ref="D46:H46" si="13">IF(D43&lt;D45,D43/12,D45/12)</f>
        <v>7709776.8535080059</v>
      </c>
      <c r="E46" s="151">
        <f t="shared" si="13"/>
        <v>8210015.9405064816</v>
      </c>
      <c r="F46" s="151">
        <f t="shared" si="13"/>
        <v>8769456.9901970942</v>
      </c>
      <c r="G46" s="151">
        <f t="shared" si="13"/>
        <v>9395586.0675780084</v>
      </c>
      <c r="H46" s="151">
        <f t="shared" si="13"/>
        <v>10097026.681372127</v>
      </c>
    </row>
    <row r="47" spans="1:8" s="91" customFormat="1" x14ac:dyDescent="0.3">
      <c r="A47" s="93"/>
      <c r="B47" s="155" t="s">
        <v>55</v>
      </c>
      <c r="C47" s="210">
        <v>0.5</v>
      </c>
      <c r="D47" s="210">
        <v>0.5</v>
      </c>
      <c r="E47" s="210">
        <v>0.5</v>
      </c>
      <c r="F47" s="210">
        <v>0.5</v>
      </c>
      <c r="G47" s="210">
        <v>0.5</v>
      </c>
      <c r="H47" s="210">
        <v>0.5</v>
      </c>
    </row>
    <row r="48" spans="1:8" s="91" customFormat="1" x14ac:dyDescent="0.3">
      <c r="A48" s="93"/>
      <c r="B48" s="1" t="s">
        <v>183</v>
      </c>
      <c r="C48" s="211">
        <f>C46*C47</f>
        <v>3631116.5989583335</v>
      </c>
      <c r="D48" s="211">
        <f t="shared" ref="D48:H48" si="14">D46*D47</f>
        <v>3854888.4267540029</v>
      </c>
      <c r="E48" s="211">
        <f t="shared" si="14"/>
        <v>4105007.9702532408</v>
      </c>
      <c r="F48" s="211">
        <f t="shared" si="14"/>
        <v>4384728.4950985471</v>
      </c>
      <c r="G48" s="211">
        <f t="shared" si="14"/>
        <v>4697793.0337890042</v>
      </c>
      <c r="H48" s="211">
        <f t="shared" si="14"/>
        <v>5048513.3406860633</v>
      </c>
    </row>
    <row r="49" spans="1:8" s="91" customFormat="1" ht="17.25" thickBot="1" x14ac:dyDescent="0.35">
      <c r="A49" s="93"/>
      <c r="B49" s="51" t="s">
        <v>180</v>
      </c>
      <c r="C49" s="212">
        <f>'Curr Yr Annual Statements'!G45+'Curr Yr Annual Statements'!D46</f>
        <v>950000</v>
      </c>
      <c r="D49" s="213">
        <f>C49+C50</f>
        <v>3631116.5989583335</v>
      </c>
      <c r="E49" s="213">
        <f>D49+D50</f>
        <v>3854888.4267540029</v>
      </c>
      <c r="F49" s="213">
        <f>E49+E50</f>
        <v>4105007.9702532408</v>
      </c>
      <c r="G49" s="213">
        <f>F49+F50</f>
        <v>4384728.4950985471</v>
      </c>
      <c r="H49" s="213">
        <f>G49+G50</f>
        <v>4697793.0337890042</v>
      </c>
    </row>
    <row r="50" spans="1:8" s="91" customFormat="1" ht="17.25" thickTop="1" x14ac:dyDescent="0.3">
      <c r="A50" s="93"/>
      <c r="B50" s="1" t="s">
        <v>184</v>
      </c>
      <c r="C50" s="214">
        <f t="shared" ref="C50:H50" si="15">(C46*C47)-C49</f>
        <v>2681116.5989583335</v>
      </c>
      <c r="D50" s="214">
        <f>(D46*D47)-D49</f>
        <v>223771.82779566944</v>
      </c>
      <c r="E50" s="214">
        <f t="shared" si="15"/>
        <v>250119.54349923786</v>
      </c>
      <c r="F50" s="214">
        <f t="shared" si="15"/>
        <v>279720.5248453063</v>
      </c>
      <c r="G50" s="214">
        <f t="shared" si="15"/>
        <v>313064.53869045712</v>
      </c>
      <c r="H50" s="214">
        <f t="shared" si="15"/>
        <v>350720.30689705908</v>
      </c>
    </row>
    <row r="51" spans="1:8" s="91" customFormat="1" x14ac:dyDescent="0.3">
      <c r="A51" s="93"/>
      <c r="B51" s="155" t="s">
        <v>56</v>
      </c>
      <c r="C51" s="155">
        <v>48</v>
      </c>
      <c r="D51" s="156">
        <v>36</v>
      </c>
      <c r="E51" s="156">
        <v>24</v>
      </c>
      <c r="F51" s="156">
        <v>12</v>
      </c>
      <c r="G51" s="156">
        <v>0</v>
      </c>
      <c r="H51" s="156">
        <f t="shared" ref="H51" si="16">G51</f>
        <v>0</v>
      </c>
    </row>
    <row r="52" spans="1:8" s="91" customFormat="1" x14ac:dyDescent="0.3">
      <c r="A52" s="93"/>
      <c r="B52" s="155" t="s">
        <v>57</v>
      </c>
      <c r="C52" s="166">
        <f>'Cover Page'!$C$18</f>
        <v>7.0000000000000007E-2</v>
      </c>
      <c r="D52" s="166">
        <f>'Cover Page'!$C$18</f>
        <v>7.0000000000000007E-2</v>
      </c>
      <c r="E52" s="166">
        <f>'Cover Page'!$C$18</f>
        <v>7.0000000000000007E-2</v>
      </c>
      <c r="F52" s="166">
        <f>'Cover Page'!$C$18</f>
        <v>7.0000000000000007E-2</v>
      </c>
      <c r="G52" s="166">
        <f>'Cover Page'!$C$18</f>
        <v>7.0000000000000007E-2</v>
      </c>
      <c r="H52" s="166">
        <f>'Cover Page'!$C$18</f>
        <v>7.0000000000000007E-2</v>
      </c>
    </row>
    <row r="53" spans="1:8" s="91" customFormat="1" x14ac:dyDescent="0.3">
      <c r="A53" s="93"/>
    </row>
    <row r="54" spans="1:8" s="50" customFormat="1" ht="14.25" x14ac:dyDescent="0.2">
      <c r="A54" s="158"/>
      <c r="B54" s="50" t="s">
        <v>160</v>
      </c>
      <c r="C54" s="167">
        <f>-1*(PV((C52/12),C51,C50))</f>
        <v>111963969.16312234</v>
      </c>
      <c r="D54" s="167">
        <f>-1*(PV((D52/12),D51,D50))</f>
        <v>7247178.3461814299</v>
      </c>
      <c r="E54" s="167">
        <f t="shared" ref="E54:H54" si="17">-1*(PV((E52/12),E51,E50))</f>
        <v>5586444.8398878798</v>
      </c>
      <c r="F54" s="167">
        <f t="shared" si="17"/>
        <v>3232763.7113274769</v>
      </c>
      <c r="G54" s="167">
        <f t="shared" si="17"/>
        <v>0</v>
      </c>
      <c r="H54" s="167">
        <f t="shared" si="17"/>
        <v>0</v>
      </c>
    </row>
    <row r="55" spans="1:8" s="91" customFormat="1" x14ac:dyDescent="0.3">
      <c r="A55" s="93"/>
      <c r="B55" s="50"/>
      <c r="C55" s="85"/>
      <c r="D55" s="85"/>
      <c r="E55" s="85"/>
      <c r="F55" s="85"/>
      <c r="G55" s="85"/>
      <c r="H55" s="85"/>
    </row>
    <row r="56" spans="1:8" s="91" customFormat="1" ht="17.25" thickBot="1" x14ac:dyDescent="0.35">
      <c r="A56" s="93"/>
      <c r="B56" s="50" t="s">
        <v>201</v>
      </c>
      <c r="C56" s="168">
        <f t="shared" ref="C56" si="18">SUM(C54:H54)</f>
        <v>128030356.06051914</v>
      </c>
    </row>
    <row r="57" spans="1:8" s="91" customFormat="1" x14ac:dyDescent="0.3">
      <c r="A57" s="93"/>
      <c r="B57" s="51"/>
      <c r="C57" s="163"/>
      <c r="D57" s="163"/>
      <c r="E57" s="163"/>
      <c r="F57" s="163"/>
      <c r="G57" s="163"/>
      <c r="H57" s="163"/>
    </row>
    <row r="58" spans="1:8" s="91" customFormat="1" x14ac:dyDescent="0.3">
      <c r="A58" s="93"/>
      <c r="C58" s="205"/>
    </row>
    <row r="59" spans="1:8" s="91" customFormat="1" x14ac:dyDescent="0.3">
      <c r="A59" s="93"/>
      <c r="C59" s="205"/>
      <c r="D59" s="206"/>
    </row>
    <row r="60" spans="1:8" s="91" customFormat="1" x14ac:dyDescent="0.3">
      <c r="A60" s="93"/>
      <c r="C60" s="47"/>
    </row>
    <row r="61" spans="1:8" s="91" customFormat="1" x14ac:dyDescent="0.3">
      <c r="A61" s="93"/>
    </row>
  </sheetData>
  <mergeCells count="6">
    <mergeCell ref="J20:L20"/>
    <mergeCell ref="B23:H23"/>
    <mergeCell ref="C1:E1"/>
    <mergeCell ref="C2:E2"/>
    <mergeCell ref="B4:G4"/>
    <mergeCell ref="B6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534F-B988-4B4A-9B58-42697B205974}">
  <dimension ref="A2:P30"/>
  <sheetViews>
    <sheetView topLeftCell="A10" workbookViewId="0">
      <selection activeCell="E7" sqref="E7"/>
    </sheetView>
  </sheetViews>
  <sheetFormatPr defaultRowHeight="15" x14ac:dyDescent="0.25"/>
  <cols>
    <col min="2" max="2" width="36" bestFit="1" customWidth="1"/>
    <col min="3" max="3" width="9.140625" bestFit="1" customWidth="1"/>
    <col min="4" max="4" width="12.7109375" bestFit="1" customWidth="1"/>
    <col min="5" max="6" width="13.140625" bestFit="1" customWidth="1"/>
    <col min="7" max="9" width="14.85546875" bestFit="1" customWidth="1"/>
    <col min="10" max="10" width="13.28515625" bestFit="1" customWidth="1"/>
    <col min="12" max="12" width="26.5703125" customWidth="1"/>
    <col min="13" max="13" width="19.5703125" bestFit="1" customWidth="1"/>
  </cols>
  <sheetData>
    <row r="2" spans="1:16" s="48" customFormat="1" ht="14.25" x14ac:dyDescent="0.3">
      <c r="A2" s="109"/>
      <c r="B2" s="110" t="s">
        <v>107</v>
      </c>
      <c r="C2" s="240" t="str">
        <f>'Cover Page'!C1:F1</f>
        <v>XYZ International School</v>
      </c>
      <c r="D2" s="240"/>
      <c r="E2" s="240"/>
    </row>
    <row r="3" spans="1:16" s="112" customFormat="1" ht="14.25" x14ac:dyDescent="0.3">
      <c r="A3" s="111"/>
      <c r="B3" s="110" t="s">
        <v>108</v>
      </c>
      <c r="C3" s="241">
        <f>'Cover Page'!C4:F4</f>
        <v>150000000</v>
      </c>
      <c r="D3" s="240"/>
      <c r="E3" s="240"/>
    </row>
    <row r="4" spans="1:16" s="1" customFormat="1" ht="16.5" x14ac:dyDescent="0.3">
      <c r="A4" s="25"/>
    </row>
    <row r="5" spans="1:16" s="1" customFormat="1" ht="16.5" x14ac:dyDescent="0.3">
      <c r="A5" s="25"/>
      <c r="B5" s="254" t="s">
        <v>173</v>
      </c>
      <c r="C5" s="254"/>
      <c r="D5" s="254"/>
      <c r="E5" s="254"/>
      <c r="F5" s="254"/>
      <c r="G5" s="254"/>
      <c r="H5" s="3"/>
      <c r="I5" s="3"/>
      <c r="J5" s="3"/>
      <c r="K5" s="3"/>
      <c r="L5" s="3"/>
      <c r="M5" s="3"/>
      <c r="N5" s="3"/>
      <c r="O5" s="3"/>
      <c r="P5" s="3"/>
    </row>
    <row r="6" spans="1:16" ht="16.5" x14ac:dyDescent="0.3">
      <c r="B6" s="51" t="s">
        <v>165</v>
      </c>
      <c r="C6" s="175">
        <f>Ratios!C20</f>
        <v>57.8</v>
      </c>
    </row>
    <row r="7" spans="1:16" ht="16.5" x14ac:dyDescent="0.3">
      <c r="B7" s="51" t="s">
        <v>168</v>
      </c>
      <c r="C7" s="155">
        <v>1000</v>
      </c>
    </row>
    <row r="8" spans="1:16" ht="16.5" x14ac:dyDescent="0.3">
      <c r="B8" s="51"/>
      <c r="C8" s="51"/>
    </row>
    <row r="9" spans="1:16" ht="15.75" thickBot="1" x14ac:dyDescent="0.3">
      <c r="D9" s="184" t="s">
        <v>39</v>
      </c>
      <c r="E9" s="184" t="s">
        <v>40</v>
      </c>
      <c r="F9" s="184" t="s">
        <v>41</v>
      </c>
      <c r="G9" s="184" t="s">
        <v>42</v>
      </c>
      <c r="H9" s="184" t="s">
        <v>43</v>
      </c>
      <c r="I9" s="184" t="s">
        <v>84</v>
      </c>
    </row>
    <row r="10" spans="1:16" ht="16.5" x14ac:dyDescent="0.3">
      <c r="B10" s="178" t="s">
        <v>161</v>
      </c>
      <c r="C10" s="51"/>
    </row>
    <row r="11" spans="1:16" ht="16.5" x14ac:dyDescent="0.3">
      <c r="B11" s="51"/>
      <c r="C11" s="51" t="s">
        <v>162</v>
      </c>
      <c r="D11" s="162"/>
      <c r="E11" s="162"/>
      <c r="F11" s="162"/>
      <c r="G11" s="162"/>
      <c r="H11" s="162"/>
      <c r="I11" s="162"/>
    </row>
    <row r="12" spans="1:16" ht="16.5" x14ac:dyDescent="0.3">
      <c r="B12" s="51" t="s">
        <v>1</v>
      </c>
      <c r="C12" s="169">
        <f>'Curr Yr Annual Statements'!C8/'Curr Yr Annual Statements'!$C$20</f>
        <v>0.13148788927335639</v>
      </c>
      <c r="D12" s="172">
        <f>'Curr Yr Annual Statements'!C8</f>
        <v>38</v>
      </c>
      <c r="E12" s="172">
        <f>E24-D24</f>
        <v>39.822834645669275</v>
      </c>
      <c r="F12" s="172">
        <f>F24-E24</f>
        <v>45.310233120466251</v>
      </c>
      <c r="G12" s="172">
        <f>G24-F24</f>
        <v>51.553769180373024</v>
      </c>
      <c r="H12" s="172">
        <f>H24-G24</f>
        <v>58.657635012314188</v>
      </c>
      <c r="I12" s="172">
        <f>I24-H24</f>
        <v>66.740379994325963</v>
      </c>
    </row>
    <row r="13" spans="1:16" ht="16.5" x14ac:dyDescent="0.3">
      <c r="B13" s="51" t="s">
        <v>2</v>
      </c>
      <c r="C13" s="169">
        <f>'Curr Yr Annual Statements'!C9/'Curr Yr Annual Statements'!$C$20</f>
        <v>6.9204152249134954E-2</v>
      </c>
      <c r="D13" s="172">
        <f>'Curr Yr Annual Statements'!C9</f>
        <v>20</v>
      </c>
      <c r="E13" s="172">
        <f>D12</f>
        <v>38</v>
      </c>
      <c r="F13" s="172">
        <f>E12</f>
        <v>39.822834645669275</v>
      </c>
      <c r="G13" s="172">
        <f>F12</f>
        <v>45.310233120466251</v>
      </c>
      <c r="H13" s="172">
        <f>G12</f>
        <v>51.553769180373024</v>
      </c>
      <c r="I13" s="172">
        <f>H12</f>
        <v>58.657635012314188</v>
      </c>
    </row>
    <row r="14" spans="1:16" ht="16.5" x14ac:dyDescent="0.3">
      <c r="B14" s="1" t="s">
        <v>3</v>
      </c>
      <c r="C14" s="169">
        <f>'Curr Yr Annual Statements'!C10/'Curr Yr Annual Statements'!$C$20</f>
        <v>8.9965397923875437E-2</v>
      </c>
      <c r="D14" s="172">
        <f>'Curr Yr Annual Statements'!C10</f>
        <v>26</v>
      </c>
      <c r="E14" s="172">
        <f t="shared" ref="E14:I23" si="0">D13</f>
        <v>20</v>
      </c>
      <c r="F14" s="172">
        <f t="shared" si="0"/>
        <v>38</v>
      </c>
      <c r="G14" s="172">
        <f t="shared" si="0"/>
        <v>39.822834645669275</v>
      </c>
      <c r="H14" s="172">
        <f t="shared" si="0"/>
        <v>45.310233120466251</v>
      </c>
      <c r="I14" s="172">
        <f t="shared" si="0"/>
        <v>51.553769180373024</v>
      </c>
    </row>
    <row r="15" spans="1:16" ht="16.5" x14ac:dyDescent="0.3">
      <c r="B15" s="1" t="s">
        <v>4</v>
      </c>
      <c r="C15" s="169">
        <f>'Curr Yr Annual Statements'!C11/'Curr Yr Annual Statements'!$C$20</f>
        <v>7.6124567474048443E-2</v>
      </c>
      <c r="D15" s="172">
        <f>'Curr Yr Annual Statements'!C11</f>
        <v>22</v>
      </c>
      <c r="E15" s="172">
        <f t="shared" si="0"/>
        <v>26</v>
      </c>
      <c r="F15" s="172">
        <f t="shared" si="0"/>
        <v>20</v>
      </c>
      <c r="G15" s="172">
        <f t="shared" si="0"/>
        <v>38</v>
      </c>
      <c r="H15" s="172">
        <f t="shared" si="0"/>
        <v>39.822834645669275</v>
      </c>
      <c r="I15" s="172">
        <f t="shared" si="0"/>
        <v>45.310233120466251</v>
      </c>
      <c r="K15" s="173"/>
    </row>
    <row r="16" spans="1:16" ht="16.5" x14ac:dyDescent="0.3">
      <c r="B16" s="1" t="s">
        <v>5</v>
      </c>
      <c r="C16" s="169">
        <f>'Curr Yr Annual Statements'!C12/'Curr Yr Annual Statements'!$C$20</f>
        <v>0.11072664359861592</v>
      </c>
      <c r="D16" s="172">
        <f>'Curr Yr Annual Statements'!C12</f>
        <v>32</v>
      </c>
      <c r="E16" s="172">
        <f t="shared" si="0"/>
        <v>22</v>
      </c>
      <c r="F16" s="172">
        <f t="shared" si="0"/>
        <v>26</v>
      </c>
      <c r="G16" s="172">
        <f t="shared" si="0"/>
        <v>20</v>
      </c>
      <c r="H16" s="172">
        <f t="shared" si="0"/>
        <v>38</v>
      </c>
      <c r="I16" s="172">
        <f t="shared" si="0"/>
        <v>39.822834645669275</v>
      </c>
    </row>
    <row r="17" spans="2:9" ht="16.5" x14ac:dyDescent="0.3">
      <c r="B17" s="1" t="s">
        <v>6</v>
      </c>
      <c r="C17" s="169">
        <f>'Curr Yr Annual Statements'!C13/'Curr Yr Annual Statements'!$C$20</f>
        <v>8.6505190311418678E-2</v>
      </c>
      <c r="D17" s="172">
        <f>'Curr Yr Annual Statements'!C13</f>
        <v>25</v>
      </c>
      <c r="E17" s="172">
        <f t="shared" si="0"/>
        <v>32</v>
      </c>
      <c r="F17" s="172">
        <f t="shared" si="0"/>
        <v>22</v>
      </c>
      <c r="G17" s="172">
        <f t="shared" si="0"/>
        <v>26</v>
      </c>
      <c r="H17" s="172">
        <f t="shared" si="0"/>
        <v>20</v>
      </c>
      <c r="I17" s="172">
        <f t="shared" si="0"/>
        <v>38</v>
      </c>
    </row>
    <row r="18" spans="2:9" ht="16.5" x14ac:dyDescent="0.3">
      <c r="B18" s="1" t="s">
        <v>7</v>
      </c>
      <c r="C18" s="169">
        <f>'Curr Yr Annual Statements'!C14/'Curr Yr Annual Statements'!$C$20</f>
        <v>6.9204152249134954E-2</v>
      </c>
      <c r="D18" s="172">
        <f>'Curr Yr Annual Statements'!C14</f>
        <v>20</v>
      </c>
      <c r="E18" s="172">
        <f t="shared" si="0"/>
        <v>25</v>
      </c>
      <c r="F18" s="172">
        <f t="shared" si="0"/>
        <v>32</v>
      </c>
      <c r="G18" s="172">
        <f t="shared" si="0"/>
        <v>22</v>
      </c>
      <c r="H18" s="172">
        <f t="shared" si="0"/>
        <v>26</v>
      </c>
      <c r="I18" s="172">
        <f t="shared" si="0"/>
        <v>20</v>
      </c>
    </row>
    <row r="19" spans="2:9" ht="16.5" x14ac:dyDescent="0.3">
      <c r="B19" s="1" t="s">
        <v>8</v>
      </c>
      <c r="C19" s="169">
        <f>'Curr Yr Annual Statements'!C15/'Curr Yr Annual Statements'!$C$20</f>
        <v>6.5743944636678195E-2</v>
      </c>
      <c r="D19" s="172">
        <f>'Curr Yr Annual Statements'!C15</f>
        <v>19</v>
      </c>
      <c r="E19" s="172">
        <f t="shared" si="0"/>
        <v>20</v>
      </c>
      <c r="F19" s="172">
        <f t="shared" si="0"/>
        <v>25</v>
      </c>
      <c r="G19" s="172">
        <f t="shared" si="0"/>
        <v>32</v>
      </c>
      <c r="H19" s="172">
        <f t="shared" si="0"/>
        <v>22</v>
      </c>
      <c r="I19" s="172">
        <f t="shared" si="0"/>
        <v>26</v>
      </c>
    </row>
    <row r="20" spans="2:9" ht="16.5" x14ac:dyDescent="0.3">
      <c r="B20" s="1" t="s">
        <v>9</v>
      </c>
      <c r="C20" s="169">
        <f>'Curr Yr Annual Statements'!C16/'Curr Yr Annual Statements'!$C$20</f>
        <v>5.536332179930796E-2</v>
      </c>
      <c r="D20" s="172">
        <f>'Curr Yr Annual Statements'!C16</f>
        <v>16</v>
      </c>
      <c r="E20" s="172">
        <f t="shared" si="0"/>
        <v>19</v>
      </c>
      <c r="F20" s="172">
        <f t="shared" si="0"/>
        <v>20</v>
      </c>
      <c r="G20" s="172">
        <f t="shared" si="0"/>
        <v>25</v>
      </c>
      <c r="H20" s="172">
        <f t="shared" si="0"/>
        <v>32</v>
      </c>
      <c r="I20" s="172">
        <f t="shared" si="0"/>
        <v>22</v>
      </c>
    </row>
    <row r="21" spans="2:9" ht="16.5" x14ac:dyDescent="0.3">
      <c r="B21" s="1" t="s">
        <v>10</v>
      </c>
      <c r="C21" s="169">
        <f>'Curr Yr Annual Statements'!C17/'Curr Yr Annual Statements'!$C$20</f>
        <v>8.3044982698961933E-2</v>
      </c>
      <c r="D21" s="172">
        <f>'Curr Yr Annual Statements'!C17</f>
        <v>24</v>
      </c>
      <c r="E21" s="172">
        <f t="shared" si="0"/>
        <v>16</v>
      </c>
      <c r="F21" s="172">
        <f t="shared" si="0"/>
        <v>19</v>
      </c>
      <c r="G21" s="172">
        <f t="shared" si="0"/>
        <v>20</v>
      </c>
      <c r="H21" s="172">
        <f t="shared" si="0"/>
        <v>25</v>
      </c>
      <c r="I21" s="172">
        <f t="shared" si="0"/>
        <v>32</v>
      </c>
    </row>
    <row r="22" spans="2:9" ht="16.5" x14ac:dyDescent="0.3">
      <c r="B22" s="1" t="s">
        <v>11</v>
      </c>
      <c r="C22" s="169">
        <f>'Curr Yr Annual Statements'!C18/'Curr Yr Annual Statements'!$C$20</f>
        <v>8.6505190311418678E-2</v>
      </c>
      <c r="D22" s="172">
        <f>'Curr Yr Annual Statements'!C18</f>
        <v>25</v>
      </c>
      <c r="E22" s="172">
        <f t="shared" si="0"/>
        <v>24</v>
      </c>
      <c r="F22" s="172">
        <f t="shared" si="0"/>
        <v>16</v>
      </c>
      <c r="G22" s="172">
        <f t="shared" si="0"/>
        <v>19</v>
      </c>
      <c r="H22" s="172">
        <f t="shared" si="0"/>
        <v>20</v>
      </c>
      <c r="I22" s="172">
        <f t="shared" si="0"/>
        <v>25</v>
      </c>
    </row>
    <row r="23" spans="2:9" ht="16.5" x14ac:dyDescent="0.3">
      <c r="B23" s="1" t="s">
        <v>99</v>
      </c>
      <c r="C23" s="169">
        <f>'Curr Yr Annual Statements'!C19/'Curr Yr Annual Statements'!$C$20</f>
        <v>7.6124567474048443E-2</v>
      </c>
      <c r="D23" s="172">
        <f>'Curr Yr Annual Statements'!C19</f>
        <v>22</v>
      </c>
      <c r="E23" s="172">
        <f t="shared" si="0"/>
        <v>25</v>
      </c>
      <c r="F23" s="172">
        <f t="shared" si="0"/>
        <v>24</v>
      </c>
      <c r="G23" s="172">
        <f t="shared" si="0"/>
        <v>16</v>
      </c>
      <c r="H23" s="172">
        <f t="shared" si="0"/>
        <v>19</v>
      </c>
      <c r="I23" s="172">
        <f t="shared" si="0"/>
        <v>20</v>
      </c>
    </row>
    <row r="24" spans="2:9" ht="16.5" x14ac:dyDescent="0.3">
      <c r="B24" s="181" t="s">
        <v>163</v>
      </c>
      <c r="C24" s="182"/>
      <c r="D24" s="183">
        <f>'Future Projections'!C28</f>
        <v>289</v>
      </c>
      <c r="E24" s="183">
        <f>'Future Projections'!D28</f>
        <v>328.82283464566927</v>
      </c>
      <c r="F24" s="183">
        <f>'Future Projections'!E28</f>
        <v>374.13306776613553</v>
      </c>
      <c r="G24" s="183">
        <f>'Future Projections'!F28</f>
        <v>425.68683694650855</v>
      </c>
      <c r="H24" s="183">
        <f>'Future Projections'!G28</f>
        <v>484.34447195882274</v>
      </c>
      <c r="I24" s="183">
        <f>'Future Projections'!H28</f>
        <v>551.0848519531487</v>
      </c>
    </row>
    <row r="25" spans="2:9" ht="16.5" x14ac:dyDescent="0.3">
      <c r="B25" s="1" t="s">
        <v>164</v>
      </c>
      <c r="D25" s="176">
        <f>Ratios!C19</f>
        <v>5</v>
      </c>
      <c r="E25" s="177">
        <f>E24/$C$6</f>
        <v>5.6889763779527556</v>
      </c>
      <c r="F25" s="177">
        <f t="shared" ref="F25:I25" si="1">F24/$C$6</f>
        <v>6.4728904457808918</v>
      </c>
      <c r="G25" s="177">
        <f t="shared" si="1"/>
        <v>7.3648241686247156</v>
      </c>
      <c r="H25" s="177">
        <f t="shared" si="1"/>
        <v>8.3796621446163115</v>
      </c>
      <c r="I25" s="177">
        <f t="shared" si="1"/>
        <v>9.5343399991894238</v>
      </c>
    </row>
    <row r="26" spans="2:9" ht="15.75" thickBot="1" x14ac:dyDescent="0.3">
      <c r="B26" s="179" t="s">
        <v>169</v>
      </c>
      <c r="C26" s="180"/>
      <c r="D26" s="179"/>
      <c r="E26" s="195">
        <f>E25-D25</f>
        <v>0.68897637795275557</v>
      </c>
      <c r="F26" s="195">
        <f t="shared" ref="F26:I26" si="2">F25-E25</f>
        <v>0.78391406782813622</v>
      </c>
      <c r="G26" s="195">
        <f t="shared" si="2"/>
        <v>0.89193372284382377</v>
      </c>
      <c r="H26" s="195">
        <f t="shared" si="2"/>
        <v>1.014837975991596</v>
      </c>
      <c r="I26" s="195">
        <f t="shared" si="2"/>
        <v>1.1546778545731122</v>
      </c>
    </row>
    <row r="27" spans="2:9" ht="15.75" thickTop="1" x14ac:dyDescent="0.25"/>
    <row r="28" spans="2:9" x14ac:dyDescent="0.25">
      <c r="B28" s="255" t="s">
        <v>170</v>
      </c>
      <c r="C28" s="255"/>
      <c r="D28" s="255"/>
      <c r="E28" s="255"/>
      <c r="F28" s="255"/>
      <c r="G28" s="255"/>
      <c r="H28" s="255"/>
      <c r="I28" s="255"/>
    </row>
    <row r="29" spans="2:9" x14ac:dyDescent="0.25">
      <c r="B29" s="186"/>
      <c r="C29" t="s">
        <v>171</v>
      </c>
    </row>
    <row r="30" spans="2:9" x14ac:dyDescent="0.25">
      <c r="B30" s="185"/>
      <c r="C30" t="s">
        <v>172</v>
      </c>
    </row>
  </sheetData>
  <mergeCells count="4">
    <mergeCell ref="B28:I28"/>
    <mergeCell ref="C2:E2"/>
    <mergeCell ref="C3:E3"/>
    <mergeCell ref="B5:G5"/>
  </mergeCells>
  <conditionalFormatting sqref="E24:I24">
    <cfRule type="cellIs" dxfId="1" priority="1" operator="greaterThan">
      <formula>$C$7</formula>
    </cfRule>
    <cfRule type="cellIs" dxfId="0" priority="2" operator="lessThan">
      <formula>$C$7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C5D8-87A2-459D-AE18-C5433BCD6EAA}">
  <dimension ref="A1:R84"/>
  <sheetViews>
    <sheetView zoomScale="69" zoomScaleNormal="69" workbookViewId="0">
      <selection activeCell="V33" sqref="V33"/>
    </sheetView>
  </sheetViews>
  <sheetFormatPr defaultRowHeight="15" x14ac:dyDescent="0.25"/>
  <cols>
    <col min="1" max="1" width="14.7109375" customWidth="1"/>
    <col min="2" max="2" width="26.42578125" bestFit="1" customWidth="1"/>
    <col min="3" max="5" width="11.7109375" bestFit="1" customWidth="1"/>
    <col min="6" max="7" width="13.42578125" bestFit="1" customWidth="1"/>
    <col min="9" max="9" width="2.5703125" customWidth="1"/>
    <col min="12" max="12" width="13.28515625" bestFit="1" customWidth="1"/>
    <col min="13" max="15" width="14" bestFit="1" customWidth="1"/>
    <col min="16" max="16" width="14.5703125" bestFit="1" customWidth="1"/>
    <col min="17" max="17" width="11.5703125" customWidth="1"/>
    <col min="18" max="18" width="15.28515625" bestFit="1" customWidth="1"/>
  </cols>
  <sheetData>
    <row r="1" spans="1:18" s="200" customFormat="1" ht="14.25" x14ac:dyDescent="0.3">
      <c r="B1" s="110" t="s">
        <v>107</v>
      </c>
      <c r="C1" s="256" t="str">
        <f>'Cover Page'!C1:F1</f>
        <v>XYZ International School</v>
      </c>
      <c r="D1" s="256"/>
      <c r="E1" s="256"/>
    </row>
    <row r="2" spans="1:18" s="201" customFormat="1" ht="14.25" x14ac:dyDescent="0.3">
      <c r="B2" s="110" t="s">
        <v>108</v>
      </c>
      <c r="C2" s="257">
        <f>'Cover Page'!C4:F4</f>
        <v>150000000</v>
      </c>
      <c r="D2" s="256"/>
      <c r="E2" s="256"/>
    </row>
    <row r="3" spans="1:18" s="202" customFormat="1" ht="16.5" x14ac:dyDescent="0.3"/>
    <row r="4" spans="1:18" s="204" customFormat="1" ht="26.25" customHeight="1" x14ac:dyDescent="0.25">
      <c r="B4" s="258" t="s">
        <v>177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</row>
    <row r="5" spans="1:18" s="203" customFormat="1" x14ac:dyDescent="0.25"/>
    <row r="6" spans="1:18" s="203" customFormat="1" x14ac:dyDescent="0.25"/>
    <row r="7" spans="1:18" s="203" customFormat="1" x14ac:dyDescent="0.25">
      <c r="B7" s="203" t="s">
        <v>176</v>
      </c>
      <c r="M7" s="203" t="str">
        <f>'Future Projections'!C25</f>
        <v>Year 0</v>
      </c>
      <c r="N7" s="203" t="str">
        <f>'Future Projections'!D25</f>
        <v>Year 1</v>
      </c>
      <c r="O7" s="203" t="str">
        <f>'Future Projections'!E25</f>
        <v>Year 2</v>
      </c>
      <c r="P7" s="203" t="str">
        <f>'Future Projections'!F25</f>
        <v>Year 3</v>
      </c>
      <c r="Q7" s="203" t="str">
        <f>'Future Projections'!G25</f>
        <v>Year 4</v>
      </c>
      <c r="R7" s="203" t="str">
        <f>'Future Projections'!H25</f>
        <v>Year 5</v>
      </c>
    </row>
    <row r="8" spans="1:18" s="197" customFormat="1" x14ac:dyDescent="0.25">
      <c r="B8" s="197" t="str">
        <f>'Future Projections'!C25</f>
        <v>Year 0</v>
      </c>
      <c r="C8" s="197" t="str">
        <f>'Future Projections'!D25</f>
        <v>Year 1</v>
      </c>
      <c r="D8" s="197" t="str">
        <f>'Future Projections'!E25</f>
        <v>Year 2</v>
      </c>
      <c r="E8" s="197" t="str">
        <f>'Future Projections'!F25</f>
        <v>Year 3</v>
      </c>
      <c r="F8" s="197" t="str">
        <f>'Future Projections'!G25</f>
        <v>Year 4</v>
      </c>
      <c r="G8" s="197" t="str">
        <f>'Future Projections'!H25</f>
        <v>Year 5</v>
      </c>
      <c r="L8" s="197" t="str">
        <f>'Future Projections'!B31</f>
        <v xml:space="preserve">Gross Income </v>
      </c>
      <c r="M8" s="198">
        <f>'Future Projections'!C31</f>
        <v>248990852.5</v>
      </c>
      <c r="N8" s="198">
        <f>'Future Projections'!D31</f>
        <v>264335206.40598878</v>
      </c>
      <c r="O8" s="198">
        <f>'Future Projections'!E31</f>
        <v>281486260.81736511</v>
      </c>
      <c r="P8" s="198">
        <f>'Future Projections'!F31</f>
        <v>300667096.80675757</v>
      </c>
      <c r="Q8" s="198">
        <f>'Future Projections'!G31</f>
        <v>322134379.45981741</v>
      </c>
      <c r="R8" s="198">
        <f>'Future Projections'!H31</f>
        <v>346183771.93275863</v>
      </c>
    </row>
    <row r="9" spans="1:18" s="197" customFormat="1" x14ac:dyDescent="0.25">
      <c r="A9" s="197" t="str">
        <f>'Future Projections'!B27</f>
        <v xml:space="preserve">Annual Expected School Fee per student </v>
      </c>
      <c r="B9" s="198">
        <f>'Future Projections'!C27</f>
        <v>866596.88581314881</v>
      </c>
      <c r="C9" s="198">
        <f>'Future Projections'!D27</f>
        <v>855552.87017346884</v>
      </c>
      <c r="D9" s="198">
        <f>'Future Projections'!E27</f>
        <v>844649.60080630181</v>
      </c>
      <c r="E9" s="198">
        <f>'Future Projections'!F27</f>
        <v>833885.28402410937</v>
      </c>
      <c r="F9" s="198">
        <f>'Future Projections'!G27</f>
        <v>823258.14899832429</v>
      </c>
      <c r="G9" s="198">
        <f>'Future Projections'!H27</f>
        <v>812766.44746803306</v>
      </c>
    </row>
    <row r="10" spans="1:18" s="197" customFormat="1" x14ac:dyDescent="0.25"/>
    <row r="11" spans="1:18" s="197" customFormat="1" x14ac:dyDescent="0.25"/>
    <row r="12" spans="1:18" s="197" customFormat="1" x14ac:dyDescent="0.25"/>
    <row r="13" spans="1:18" s="197" customFormat="1" x14ac:dyDescent="0.25"/>
    <row r="14" spans="1:18" s="197" customFormat="1" x14ac:dyDescent="0.25"/>
    <row r="15" spans="1:18" s="197" customFormat="1" x14ac:dyDescent="0.25"/>
    <row r="16" spans="1:18" s="197" customFormat="1" x14ac:dyDescent="0.25"/>
    <row r="17" spans="1:18" s="197" customFormat="1" x14ac:dyDescent="0.25"/>
    <row r="18" spans="1:18" s="197" customFormat="1" x14ac:dyDescent="0.25"/>
    <row r="19" spans="1:18" s="197" customFormat="1" x14ac:dyDescent="0.25"/>
    <row r="20" spans="1:18" s="197" customFormat="1" x14ac:dyDescent="0.25"/>
    <row r="21" spans="1:18" s="197" customFormat="1" x14ac:dyDescent="0.25"/>
    <row r="22" spans="1:18" s="197" customFormat="1" x14ac:dyDescent="0.25"/>
    <row r="23" spans="1:18" s="197" customFormat="1" x14ac:dyDescent="0.25"/>
    <row r="24" spans="1:18" s="197" customFormat="1" x14ac:dyDescent="0.25"/>
    <row r="25" spans="1:18" s="197" customFormat="1" x14ac:dyDescent="0.25">
      <c r="B25" s="197" t="str">
        <f>'Future Projections'!C25</f>
        <v>Year 0</v>
      </c>
      <c r="C25" s="197" t="str">
        <f>'Future Projections'!D25</f>
        <v>Year 1</v>
      </c>
      <c r="D25" s="197" t="str">
        <f>'Future Projections'!E25</f>
        <v>Year 2</v>
      </c>
      <c r="E25" s="197" t="str">
        <f>'Future Projections'!F25</f>
        <v>Year 3</v>
      </c>
      <c r="F25" s="197" t="str">
        <f>'Future Projections'!G25</f>
        <v>Year 4</v>
      </c>
      <c r="M25" s="197" t="str">
        <f>'Future Projections'!C25</f>
        <v>Year 0</v>
      </c>
      <c r="N25" s="197" t="str">
        <f>'Future Projections'!D25</f>
        <v>Year 1</v>
      </c>
      <c r="O25" s="197" t="str">
        <f>'Future Projections'!E25</f>
        <v>Year 2</v>
      </c>
      <c r="P25" s="197" t="str">
        <f>'Future Projections'!F25</f>
        <v>Year 3</v>
      </c>
      <c r="Q25" s="197" t="str">
        <f>'Future Projections'!G25</f>
        <v>Year 4</v>
      </c>
      <c r="R25" s="197" t="str">
        <f>'Future Projections'!H25</f>
        <v>Year 5</v>
      </c>
    </row>
    <row r="26" spans="1:18" s="197" customFormat="1" x14ac:dyDescent="0.25">
      <c r="A26" s="198" t="str">
        <f>'Future Projections'!B28</f>
        <v xml:space="preserve">Student Count </v>
      </c>
      <c r="B26" s="198">
        <f>'Future Projections'!C28</f>
        <v>289</v>
      </c>
      <c r="C26" s="198">
        <f>'Future Projections'!D28</f>
        <v>328.82283464566927</v>
      </c>
      <c r="D26" s="198">
        <f>'Future Projections'!E28</f>
        <v>374.13306776613553</v>
      </c>
      <c r="E26" s="198">
        <f>'Future Projections'!F28</f>
        <v>425.68683694650855</v>
      </c>
      <c r="F26" s="198">
        <f>'Future Projections'!G28</f>
        <v>484.34447195882274</v>
      </c>
      <c r="L26" s="199" t="str">
        <f>'Future Projections'!B38</f>
        <v>Net Surplus/Loss before debt service</v>
      </c>
      <c r="M26" s="199">
        <f>'Future Projections'!C38</f>
        <v>104335596.75</v>
      </c>
      <c r="N26" s="199">
        <f>'Future Projections'!D38</f>
        <v>110788265.17649984</v>
      </c>
      <c r="O26" s="199">
        <f>'Future Projections'!E38</f>
        <v>118387583.2091023</v>
      </c>
      <c r="P26" s="199">
        <f>'Future Projections'!F38</f>
        <v>127296368.31089379</v>
      </c>
      <c r="Q26" s="199">
        <f>'Future Projections'!G38</f>
        <v>137700950.69361085</v>
      </c>
      <c r="R26" s="199">
        <f>'Future Projections'!H38</f>
        <v>149814754.8029972</v>
      </c>
    </row>
    <row r="27" spans="1:18" s="197" customFormat="1" x14ac:dyDescent="0.25"/>
    <row r="28" spans="1:18" s="197" customFormat="1" x14ac:dyDescent="0.25"/>
    <row r="29" spans="1:18" s="197" customFormat="1" x14ac:dyDescent="0.25"/>
    <row r="30" spans="1:18" s="197" customFormat="1" x14ac:dyDescent="0.25"/>
    <row r="31" spans="1:18" s="197" customFormat="1" x14ac:dyDescent="0.25"/>
    <row r="32" spans="1:18" s="197" customFormat="1" x14ac:dyDescent="0.25"/>
    <row r="33" spans="1:18" s="197" customFormat="1" x14ac:dyDescent="0.25"/>
    <row r="34" spans="1:18" s="197" customFormat="1" x14ac:dyDescent="0.25"/>
    <row r="35" spans="1:18" s="197" customFormat="1" x14ac:dyDescent="0.25"/>
    <row r="36" spans="1:18" s="197" customFormat="1" x14ac:dyDescent="0.25"/>
    <row r="37" spans="1:18" s="197" customFormat="1" x14ac:dyDescent="0.25"/>
    <row r="38" spans="1:18" s="197" customFormat="1" x14ac:dyDescent="0.25"/>
    <row r="39" spans="1:18" s="197" customFormat="1" x14ac:dyDescent="0.25"/>
    <row r="40" spans="1:18" s="197" customFormat="1" x14ac:dyDescent="0.25"/>
    <row r="41" spans="1:18" s="197" customFormat="1" x14ac:dyDescent="0.25"/>
    <row r="42" spans="1:18" s="197" customFormat="1" x14ac:dyDescent="0.25"/>
    <row r="43" spans="1:18" s="197" customFormat="1" x14ac:dyDescent="0.25"/>
    <row r="44" spans="1:18" s="197" customFormat="1" x14ac:dyDescent="0.25">
      <c r="B44" s="197" t="str">
        <f>'Future Projections'!C25</f>
        <v>Year 0</v>
      </c>
      <c r="C44" s="197" t="str">
        <f>'Future Projections'!D25</f>
        <v>Year 1</v>
      </c>
      <c r="D44" s="197" t="str">
        <f>'Future Projections'!E25</f>
        <v>Year 2</v>
      </c>
      <c r="E44" s="197" t="str">
        <f>'Future Projections'!F25</f>
        <v>Year 3</v>
      </c>
      <c r="F44" s="197" t="str">
        <f>'Future Projections'!G25</f>
        <v>Year 4</v>
      </c>
      <c r="G44" s="197" t="str">
        <f>'Future Projections'!H25</f>
        <v>Year 5</v>
      </c>
      <c r="M44" s="197" t="str">
        <f>'Future Projections'!C25</f>
        <v>Year 0</v>
      </c>
      <c r="N44" s="197" t="str">
        <f>'Future Projections'!D25</f>
        <v>Year 1</v>
      </c>
      <c r="O44" s="197" t="str">
        <f>'Future Projections'!E25</f>
        <v>Year 2</v>
      </c>
      <c r="P44" s="197" t="str">
        <f>'Future Projections'!F25</f>
        <v>Year 3</v>
      </c>
      <c r="Q44" s="197" t="str">
        <f>'Future Projections'!G25</f>
        <v>Year 4</v>
      </c>
      <c r="R44" s="197" t="str">
        <f>'Future Projections'!H25</f>
        <v>Year 5</v>
      </c>
    </row>
    <row r="45" spans="1:18" s="197" customFormat="1" x14ac:dyDescent="0.25">
      <c r="A45" s="197" t="str">
        <f>'Future Projections'!B54</f>
        <v>Maximum Loan Eligibility By Cashflows</v>
      </c>
      <c r="B45" s="198">
        <f>'Future Projections'!C54</f>
        <v>111963969.16312234</v>
      </c>
      <c r="C45" s="198">
        <f>'Future Projections'!D54</f>
        <v>7247178.3461814299</v>
      </c>
      <c r="D45" s="198">
        <f>'Future Projections'!E54</f>
        <v>5586444.8398878798</v>
      </c>
      <c r="E45" s="198">
        <f>'Future Projections'!F54</f>
        <v>3232763.7113274769</v>
      </c>
      <c r="F45" s="198">
        <f>'Future Projections'!G54</f>
        <v>0</v>
      </c>
      <c r="G45" s="198">
        <f>'Future Projections'!H54</f>
        <v>0</v>
      </c>
      <c r="L45" s="197" t="str">
        <f>'Future Projections'!B56</f>
        <v>Possible Credit Limit/Proposed Loan Limit Amount</v>
      </c>
      <c r="M45" s="198">
        <f>'Future Projections'!C56</f>
        <v>128030356.06051914</v>
      </c>
      <c r="N45" s="198">
        <f>'Future Projections'!D56</f>
        <v>0</v>
      </c>
      <c r="O45" s="198">
        <f>'Future Projections'!E56</f>
        <v>0</v>
      </c>
      <c r="P45" s="198">
        <f>'Future Projections'!F56</f>
        <v>0</v>
      </c>
      <c r="Q45" s="198">
        <f>'Future Projections'!G56</f>
        <v>0</v>
      </c>
      <c r="R45" s="198">
        <f>'Future Projections'!H56</f>
        <v>0</v>
      </c>
    </row>
    <row r="46" spans="1:18" s="197" customFormat="1" x14ac:dyDescent="0.25"/>
    <row r="47" spans="1:18" s="197" customFormat="1" x14ac:dyDescent="0.25"/>
    <row r="48" spans="1:18" s="197" customFormat="1" x14ac:dyDescent="0.25"/>
    <row r="49" s="197" customFormat="1" x14ac:dyDescent="0.25"/>
    <row r="50" s="197" customFormat="1" x14ac:dyDescent="0.25"/>
    <row r="51" s="197" customFormat="1" x14ac:dyDescent="0.25"/>
    <row r="52" s="197" customFormat="1" x14ac:dyDescent="0.25"/>
    <row r="53" s="197" customFormat="1" x14ac:dyDescent="0.25"/>
    <row r="54" s="197" customFormat="1" x14ac:dyDescent="0.25"/>
    <row r="55" s="197" customFormat="1" x14ac:dyDescent="0.25"/>
    <row r="56" s="197" customFormat="1" x14ac:dyDescent="0.25"/>
    <row r="57" s="197" customFormat="1" x14ac:dyDescent="0.25"/>
    <row r="58" s="197" customFormat="1" x14ac:dyDescent="0.25"/>
    <row r="59" s="197" customFormat="1" x14ac:dyDescent="0.25"/>
    <row r="60" s="197" customFormat="1" x14ac:dyDescent="0.25"/>
    <row r="61" s="197" customFormat="1" x14ac:dyDescent="0.25"/>
    <row r="62" s="197" customFormat="1" x14ac:dyDescent="0.25"/>
    <row r="63" s="197" customFormat="1" x14ac:dyDescent="0.25"/>
    <row r="64" s="197" customFormat="1" x14ac:dyDescent="0.25"/>
    <row r="65" s="197" customFormat="1" x14ac:dyDescent="0.25"/>
    <row r="66" s="197" customFormat="1" x14ac:dyDescent="0.25"/>
    <row r="67" s="197" customFormat="1" x14ac:dyDescent="0.25"/>
    <row r="68" s="197" customFormat="1" x14ac:dyDescent="0.25"/>
    <row r="69" s="197" customFormat="1" x14ac:dyDescent="0.25"/>
    <row r="70" s="197" customFormat="1" x14ac:dyDescent="0.25"/>
    <row r="71" s="197" customFormat="1" x14ac:dyDescent="0.25"/>
    <row r="72" s="197" customFormat="1" x14ac:dyDescent="0.25"/>
    <row r="73" s="197" customFormat="1" x14ac:dyDescent="0.25"/>
    <row r="74" s="197" customFormat="1" x14ac:dyDescent="0.25"/>
    <row r="75" s="197" customFormat="1" x14ac:dyDescent="0.25"/>
    <row r="76" s="197" customFormat="1" x14ac:dyDescent="0.25"/>
    <row r="77" s="197" customFormat="1" x14ac:dyDescent="0.25"/>
    <row r="78" s="197" customFormat="1" x14ac:dyDescent="0.25"/>
    <row r="79" s="197" customFormat="1" x14ac:dyDescent="0.25"/>
    <row r="80" s="197" customFormat="1" x14ac:dyDescent="0.25"/>
    <row r="81" s="197" customFormat="1" x14ac:dyDescent="0.25"/>
    <row r="82" s="197" customFormat="1" x14ac:dyDescent="0.25"/>
    <row r="83" s="197" customFormat="1" x14ac:dyDescent="0.25"/>
    <row r="84" s="197" customFormat="1" x14ac:dyDescent="0.25"/>
  </sheetData>
  <mergeCells count="3">
    <mergeCell ref="C1:E1"/>
    <mergeCell ref="C2:E2"/>
    <mergeCell ref="B4:R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0650-623A-4F31-910A-02686CD669F9}">
  <dimension ref="A1:L22"/>
  <sheetViews>
    <sheetView zoomScale="86" zoomScaleNormal="86" workbookViewId="0">
      <selection activeCell="G18" sqref="G18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8.28515625" bestFit="1" customWidth="1"/>
    <col min="4" max="4" width="8.42578125" bestFit="1" customWidth="1"/>
    <col min="5" max="5" width="74" bestFit="1" customWidth="1"/>
    <col min="8" max="8" width="30.5703125" bestFit="1" customWidth="1"/>
    <col min="12" max="12" width="104.5703125" bestFit="1" customWidth="1"/>
  </cols>
  <sheetData>
    <row r="1" spans="1:12" x14ac:dyDescent="0.25">
      <c r="A1" s="259" t="s">
        <v>179</v>
      </c>
      <c r="B1" s="260"/>
      <c r="C1" s="260"/>
      <c r="D1" s="260"/>
      <c r="E1" s="261"/>
      <c r="H1" s="137"/>
      <c r="I1" s="260" t="s">
        <v>131</v>
      </c>
      <c r="J1" s="260"/>
      <c r="K1" s="260"/>
      <c r="L1" s="138"/>
    </row>
    <row r="2" spans="1:12" x14ac:dyDescent="0.25">
      <c r="A2" s="116" t="s">
        <v>134</v>
      </c>
      <c r="B2" s="117" t="s">
        <v>116</v>
      </c>
      <c r="C2" s="117" t="s">
        <v>115</v>
      </c>
      <c r="D2" s="117" t="s">
        <v>117</v>
      </c>
      <c r="E2" s="118" t="s">
        <v>114</v>
      </c>
      <c r="H2" s="128"/>
      <c r="I2" s="129" t="s">
        <v>125</v>
      </c>
      <c r="J2" s="129" t="s">
        <v>126</v>
      </c>
      <c r="K2" s="129" t="s">
        <v>127</v>
      </c>
      <c r="L2" s="130"/>
    </row>
    <row r="3" spans="1:12" x14ac:dyDescent="0.25">
      <c r="A3" s="119" t="s">
        <v>113</v>
      </c>
      <c r="B3" s="120">
        <v>5.6000000000000001E-2</v>
      </c>
      <c r="C3" s="121">
        <v>0.1</v>
      </c>
      <c r="D3" s="122">
        <f>B3*C3</f>
        <v>5.6000000000000008E-3</v>
      </c>
      <c r="E3" s="123" t="s">
        <v>111</v>
      </c>
      <c r="H3" s="128" t="s">
        <v>124</v>
      </c>
      <c r="I3" s="222">
        <v>0.10100000000000001</v>
      </c>
      <c r="J3" s="222">
        <v>7.5999999999999998E-2</v>
      </c>
      <c r="K3" s="222">
        <v>0.05</v>
      </c>
      <c r="L3" s="139" t="s">
        <v>128</v>
      </c>
    </row>
    <row r="4" spans="1:12" x14ac:dyDescent="0.25">
      <c r="A4" s="119" t="s">
        <v>129</v>
      </c>
      <c r="B4" s="120">
        <v>0.105</v>
      </c>
      <c r="C4" s="121">
        <v>0.2</v>
      </c>
      <c r="D4" s="122">
        <f>-(B4*C4)</f>
        <v>-2.1000000000000001E-2</v>
      </c>
      <c r="E4" s="123" t="s">
        <v>130</v>
      </c>
      <c r="H4" s="119" t="s">
        <v>129</v>
      </c>
      <c r="I4" s="223">
        <v>0.13</v>
      </c>
      <c r="J4" s="224">
        <v>0.105</v>
      </c>
      <c r="K4" s="222">
        <v>8.2500000000000004E-2</v>
      </c>
      <c r="L4" s="140" t="s">
        <v>148</v>
      </c>
    </row>
    <row r="5" spans="1:12" x14ac:dyDescent="0.25">
      <c r="A5" s="119" t="s">
        <v>112</v>
      </c>
      <c r="B5" s="120">
        <v>7.5999999999999998E-2</v>
      </c>
      <c r="C5" s="121">
        <v>0.3</v>
      </c>
      <c r="D5" s="122">
        <f>-(B5*C5)</f>
        <v>-2.2799999999999997E-2</v>
      </c>
      <c r="E5" s="123" t="s">
        <v>111</v>
      </c>
      <c r="H5" s="119" t="s">
        <v>113</v>
      </c>
      <c r="I5" s="222">
        <v>3.7999999999999999E-2</v>
      </c>
      <c r="J5" s="224">
        <v>5.6000000000000001E-2</v>
      </c>
      <c r="K5" s="222">
        <v>7.5999999999999998E-2</v>
      </c>
      <c r="L5" s="140" t="s">
        <v>132</v>
      </c>
    </row>
    <row r="6" spans="1:12" ht="15.75" thickBot="1" x14ac:dyDescent="0.3">
      <c r="A6" s="119" t="s">
        <v>110</v>
      </c>
      <c r="B6" s="120">
        <v>4.9000000000000002E-2</v>
      </c>
      <c r="C6" s="121">
        <v>0.4</v>
      </c>
      <c r="D6" s="122">
        <f t="shared" ref="D6" si="0">-(B6*C6)</f>
        <v>-1.9600000000000003E-2</v>
      </c>
      <c r="E6" s="123" t="s">
        <v>109</v>
      </c>
      <c r="H6" s="124" t="s">
        <v>110</v>
      </c>
      <c r="I6" s="221">
        <v>0.122</v>
      </c>
      <c r="J6" s="221">
        <v>4.9000000000000002E-2</v>
      </c>
      <c r="K6" s="221">
        <v>4.7E-2</v>
      </c>
      <c r="L6" s="141" t="s">
        <v>133</v>
      </c>
    </row>
    <row r="7" spans="1:12" ht="15.75" thickBot="1" x14ac:dyDescent="0.3">
      <c r="A7" s="124"/>
      <c r="B7" s="125"/>
      <c r="C7" s="125"/>
      <c r="D7" s="126">
        <f>SUM(D3:D6)</f>
        <v>-5.7800000000000004E-2</v>
      </c>
      <c r="E7" s="127"/>
    </row>
    <row r="8" spans="1:12" ht="15.75" thickBot="1" x14ac:dyDescent="0.3">
      <c r="A8" s="3"/>
      <c r="B8" s="3"/>
      <c r="C8" s="3"/>
      <c r="D8" s="113"/>
      <c r="E8" s="3"/>
    </row>
    <row r="9" spans="1:12" ht="15.75" thickBot="1" x14ac:dyDescent="0.3">
      <c r="A9" s="259" t="s">
        <v>122</v>
      </c>
      <c r="B9" s="260"/>
      <c r="C9" s="260"/>
      <c r="D9" s="260"/>
      <c r="E9" s="261"/>
    </row>
    <row r="10" spans="1:12" x14ac:dyDescent="0.25">
      <c r="A10" s="128" t="s">
        <v>134</v>
      </c>
      <c r="B10" s="129" t="s">
        <v>116</v>
      </c>
      <c r="C10" s="129" t="s">
        <v>115</v>
      </c>
      <c r="D10" s="129" t="s">
        <v>117</v>
      </c>
      <c r="E10" s="130"/>
      <c r="H10" s="259" t="s">
        <v>91</v>
      </c>
      <c r="I10" s="260"/>
      <c r="J10" s="260"/>
      <c r="K10" s="260"/>
      <c r="L10" s="138"/>
    </row>
    <row r="11" spans="1:12" x14ac:dyDescent="0.25">
      <c r="A11" s="128" t="s">
        <v>113</v>
      </c>
      <c r="B11" s="131">
        <v>7.5999999999999998E-2</v>
      </c>
      <c r="C11" s="129">
        <v>0.1</v>
      </c>
      <c r="D11" s="132">
        <f>B11*C11</f>
        <v>7.6E-3</v>
      </c>
      <c r="E11" s="123"/>
      <c r="H11" s="128" t="s">
        <v>135</v>
      </c>
      <c r="I11" s="129" t="s">
        <v>136</v>
      </c>
      <c r="J11" s="129" t="s">
        <v>115</v>
      </c>
      <c r="K11" s="129" t="s">
        <v>117</v>
      </c>
      <c r="L11" s="130"/>
    </row>
    <row r="12" spans="1:12" x14ac:dyDescent="0.25">
      <c r="A12" s="119" t="s">
        <v>129</v>
      </c>
      <c r="B12" s="132">
        <v>8.2500000000000004E-2</v>
      </c>
      <c r="C12" s="129">
        <v>0.2</v>
      </c>
      <c r="D12" s="132">
        <f>-(B12*C12)</f>
        <v>-1.6500000000000001E-2</v>
      </c>
      <c r="E12" s="123"/>
      <c r="H12" s="128" t="s">
        <v>113</v>
      </c>
      <c r="I12" s="136">
        <v>0.06</v>
      </c>
      <c r="J12" s="129">
        <v>0.1</v>
      </c>
      <c r="K12" s="132">
        <f>I12*J12</f>
        <v>6.0000000000000001E-3</v>
      </c>
      <c r="L12" s="139" t="s">
        <v>137</v>
      </c>
    </row>
    <row r="13" spans="1:12" x14ac:dyDescent="0.25">
      <c r="A13" s="128" t="s">
        <v>112</v>
      </c>
      <c r="B13" s="131">
        <v>0.05</v>
      </c>
      <c r="C13" s="129">
        <v>0.3</v>
      </c>
      <c r="D13" s="132">
        <f t="shared" ref="D13:D14" si="1">-(B13*C13)</f>
        <v>-1.4999999999999999E-2</v>
      </c>
      <c r="E13" s="123"/>
      <c r="H13" s="128" t="s">
        <v>129</v>
      </c>
      <c r="I13" s="136">
        <v>0.08</v>
      </c>
      <c r="J13" s="129">
        <v>0.2</v>
      </c>
      <c r="K13" s="132">
        <f>-1*(I13*J13)</f>
        <v>-1.6E-2</v>
      </c>
      <c r="L13" s="139" t="s">
        <v>138</v>
      </c>
    </row>
    <row r="14" spans="1:12" x14ac:dyDescent="0.25">
      <c r="A14" s="128" t="s">
        <v>110</v>
      </c>
      <c r="B14" s="131">
        <v>4.7E-2</v>
      </c>
      <c r="C14" s="129">
        <v>0.4</v>
      </c>
      <c r="D14" s="132">
        <f t="shared" si="1"/>
        <v>-1.8800000000000001E-2</v>
      </c>
      <c r="E14" s="123"/>
      <c r="H14" s="128" t="s">
        <v>112</v>
      </c>
      <c r="I14" s="136">
        <v>5.8999999999999997E-2</v>
      </c>
      <c r="J14" s="129">
        <v>0.3</v>
      </c>
      <c r="K14" s="132">
        <f t="shared" ref="K14:K15" si="2">-1*(I14*J14)</f>
        <v>-1.7699999999999997E-2</v>
      </c>
      <c r="L14" s="139" t="s">
        <v>137</v>
      </c>
    </row>
    <row r="15" spans="1:12" ht="15.75" thickBot="1" x14ac:dyDescent="0.3">
      <c r="A15" s="133"/>
      <c r="B15" s="134"/>
      <c r="C15" s="134"/>
      <c r="D15" s="221">
        <f>SUM(D11:D14)</f>
        <v>-4.2700000000000002E-2</v>
      </c>
      <c r="E15" s="135"/>
      <c r="H15" s="128" t="s">
        <v>110</v>
      </c>
      <c r="I15" s="136">
        <v>6.8000000000000005E-2</v>
      </c>
      <c r="J15" s="129">
        <v>0.4</v>
      </c>
      <c r="K15" s="132">
        <f t="shared" si="2"/>
        <v>-2.7200000000000002E-2</v>
      </c>
      <c r="L15" s="139" t="s">
        <v>133</v>
      </c>
    </row>
    <row r="16" spans="1:12" ht="15.75" thickBot="1" x14ac:dyDescent="0.3">
      <c r="A16" s="259" t="s">
        <v>123</v>
      </c>
      <c r="B16" s="260"/>
      <c r="C16" s="260"/>
      <c r="D16" s="260"/>
      <c r="E16" s="261"/>
      <c r="H16" s="133"/>
      <c r="I16" s="134"/>
      <c r="J16" s="134"/>
      <c r="K16" s="225">
        <f>SUM(K12:K15)</f>
        <v>-5.4899999999999997E-2</v>
      </c>
      <c r="L16" s="135"/>
    </row>
    <row r="17" spans="1:5" x14ac:dyDescent="0.25">
      <c r="A17" s="128" t="s">
        <v>134</v>
      </c>
      <c r="B17" s="129" t="s">
        <v>116</v>
      </c>
      <c r="C17" s="129" t="s">
        <v>115</v>
      </c>
      <c r="D17" s="129" t="s">
        <v>117</v>
      </c>
      <c r="E17" s="130"/>
    </row>
    <row r="18" spans="1:5" x14ac:dyDescent="0.25">
      <c r="A18" s="128" t="s">
        <v>113</v>
      </c>
      <c r="B18" s="131">
        <v>3.7999999999999999E-2</v>
      </c>
      <c r="C18" s="129">
        <v>0.1</v>
      </c>
      <c r="D18" s="132">
        <f>B18*C18</f>
        <v>3.8E-3</v>
      </c>
      <c r="E18" s="123"/>
    </row>
    <row r="19" spans="1:5" x14ac:dyDescent="0.25">
      <c r="A19" s="119" t="s">
        <v>129</v>
      </c>
      <c r="B19" s="131">
        <v>0.13</v>
      </c>
      <c r="C19" s="129">
        <v>0.2</v>
      </c>
      <c r="D19" s="132">
        <f>-(B19*C19)</f>
        <v>-2.6000000000000002E-2</v>
      </c>
      <c r="E19" s="123"/>
    </row>
    <row r="20" spans="1:5" x14ac:dyDescent="0.25">
      <c r="A20" s="128" t="s">
        <v>112</v>
      </c>
      <c r="B20" s="131">
        <v>0.10100000000000001</v>
      </c>
      <c r="C20" s="129">
        <v>0.3</v>
      </c>
      <c r="D20" s="132">
        <f t="shared" ref="D20:D21" si="3">-(B20*C20)</f>
        <v>-3.0300000000000001E-2</v>
      </c>
      <c r="E20" s="123"/>
    </row>
    <row r="21" spans="1:5" x14ac:dyDescent="0.25">
      <c r="A21" s="128" t="s">
        <v>110</v>
      </c>
      <c r="B21" s="131">
        <v>0.122</v>
      </c>
      <c r="C21" s="129">
        <v>0.4</v>
      </c>
      <c r="D21" s="132">
        <f t="shared" si="3"/>
        <v>-4.8800000000000003E-2</v>
      </c>
      <c r="E21" s="123"/>
    </row>
    <row r="22" spans="1:5" ht="15.75" thickBot="1" x14ac:dyDescent="0.3">
      <c r="A22" s="133"/>
      <c r="B22" s="134"/>
      <c r="C22" s="134"/>
      <c r="D22" s="221">
        <f>SUM(D18:D21)</f>
        <v>-0.1013</v>
      </c>
      <c r="E22" s="135"/>
    </row>
  </sheetData>
  <mergeCells count="5">
    <mergeCell ref="A1:E1"/>
    <mergeCell ref="A9:E9"/>
    <mergeCell ref="A16:E16"/>
    <mergeCell ref="I1:K1"/>
    <mergeCell ref="H10:K10"/>
  </mergeCells>
  <hyperlinks>
    <hyperlink ref="E3" r:id="rId1" xr:uid="{90B4C39E-00F0-4055-817C-BC851F59A098}"/>
    <hyperlink ref="E6" r:id="rId2" xr:uid="{6F63859A-1F3A-4A33-89ED-D3BA9C21829C}"/>
    <hyperlink ref="E5" r:id="rId3" xr:uid="{25AAC512-8F6F-4E2D-B006-59B8E1BB9FF7}"/>
    <hyperlink ref="L3" r:id="rId4" xr:uid="{24F542D4-6C65-4270-A62D-565A2EF18F50}"/>
    <hyperlink ref="L5" r:id="rId5" xr:uid="{180B5AAF-EC04-432F-97E9-A4F35398C7BC}"/>
    <hyperlink ref="L6" r:id="rId6" display="https://tradingeconomics.com/kenya/unemployment-rate" xr:uid="{5113125E-5C1F-4A0F-A48F-2CE92759D60F}"/>
    <hyperlink ref="L15" r:id="rId7" display="https://tradingeconomics.com/kenya/unemployment-rate" xr:uid="{4A3DAC1E-9499-4F8C-B6AA-B4B62451D774}"/>
    <hyperlink ref="L14" r:id="rId8" display="https://www.afdb.org/en/countries-east-africa-kenya/kenya-economic-outlook" xr:uid="{3A4950A5-4755-4615-B478-AC8767961A0F}"/>
    <hyperlink ref="L12" r:id="rId9" display="https://www.afdb.org/en/countries-east-africa-kenya/kenya-economic-outlook" xr:uid="{86FCFE2E-5D62-4EA1-89E1-7A8D94B875A6}"/>
    <hyperlink ref="L13" r:id="rId10" location=":~:text=In%20the%20long%2Dterm%2C%20the,according%20to%20our%20econometric%20models.&amp;text=In%20Kenya%2C%20interest%20rates%20decisions,The%20Central%20Bank%20of%20Kenya." display="https://tradingeconomics.com/kenya/interest-rate - :~:text=In%20the%20long%2Dterm%2C%20the,according%20to%20our%20econometric%20models.&amp;text=In%20Kenya%2C%20interest%20rates%20decisions,The%20Central%20Bank%20of%20Kenya." xr:uid="{F0D67C7D-940A-42EC-B57A-A33B6976BB25}"/>
    <hyperlink ref="L4" r:id="rId11" location=":~:text=In%20the%20long%2Dterm%2C%20the,according%20to%20our%20econometric%20models.&amp;text=In%20Kenya%2C%20interest%20rates%20decisions,The%20Central%20Bank%20of%20Kenya." xr:uid="{54B9566C-3C65-4484-9440-F2DEE2A71865}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5387-D9B6-4962-80B3-73A82913C32F}">
  <dimension ref="A1:E23"/>
  <sheetViews>
    <sheetView topLeftCell="A10" workbookViewId="0">
      <selection activeCell="K18" sqref="K18"/>
    </sheetView>
  </sheetViews>
  <sheetFormatPr defaultRowHeight="15" x14ac:dyDescent="0.25"/>
  <cols>
    <col min="1" max="1" width="29.7109375" bestFit="1" customWidth="1"/>
    <col min="2" max="2" width="15.28515625" bestFit="1" customWidth="1"/>
    <col min="3" max="3" width="13.28515625" bestFit="1" customWidth="1"/>
    <col min="4" max="4" width="16.42578125" bestFit="1" customWidth="1"/>
    <col min="5" max="5" width="13.7109375" bestFit="1" customWidth="1"/>
  </cols>
  <sheetData>
    <row r="1" spans="1:5" x14ac:dyDescent="0.25">
      <c r="A1" s="259" t="s">
        <v>139</v>
      </c>
      <c r="B1" s="260"/>
      <c r="C1" s="260"/>
      <c r="D1" s="260"/>
      <c r="E1" s="261"/>
    </row>
    <row r="2" spans="1:5" x14ac:dyDescent="0.25">
      <c r="A2" s="128"/>
      <c r="B2" s="129" t="s">
        <v>140</v>
      </c>
      <c r="C2" s="129" t="s">
        <v>141</v>
      </c>
      <c r="D2" s="129" t="s">
        <v>145</v>
      </c>
      <c r="E2" s="130" t="s">
        <v>146</v>
      </c>
    </row>
    <row r="3" spans="1:5" x14ac:dyDescent="0.25">
      <c r="A3" s="142" t="s">
        <v>142</v>
      </c>
      <c r="B3" s="146">
        <f>'Prev Yr Annual Statements'!$C$20</f>
        <v>254</v>
      </c>
      <c r="C3" s="146">
        <f>'Curr Yr Annual Statements'!$C$20</f>
        <v>289</v>
      </c>
      <c r="D3" s="129">
        <f>C3-B3</f>
        <v>35</v>
      </c>
      <c r="E3" s="207">
        <f>D3/B3</f>
        <v>0.13779527559055119</v>
      </c>
    </row>
    <row r="4" spans="1:5" x14ac:dyDescent="0.25">
      <c r="A4" s="142" t="s">
        <v>143</v>
      </c>
      <c r="B4" s="146">
        <f>'Prev Yr Annual Statements'!$C$25</f>
        <v>26</v>
      </c>
      <c r="C4" s="146">
        <f>'Curr Yr Annual Statements'!$C$25</f>
        <v>28</v>
      </c>
      <c r="D4" s="129">
        <f>C4-B4</f>
        <v>2</v>
      </c>
      <c r="E4" s="207">
        <f>D4/B4</f>
        <v>7.6923076923076927E-2</v>
      </c>
    </row>
    <row r="5" spans="1:5" ht="15.75" thickBot="1" x14ac:dyDescent="0.3">
      <c r="A5" s="143" t="s">
        <v>144</v>
      </c>
      <c r="B5" s="144">
        <f>B3/B4</f>
        <v>9.7692307692307701</v>
      </c>
      <c r="C5" s="144">
        <f>C3/C4</f>
        <v>10.321428571428571</v>
      </c>
      <c r="D5" s="134"/>
      <c r="E5" s="135"/>
    </row>
    <row r="6" spans="1:5" ht="15.75" thickBot="1" x14ac:dyDescent="0.3">
      <c r="C6" s="115"/>
    </row>
    <row r="7" spans="1:5" x14ac:dyDescent="0.25">
      <c r="A7" s="259" t="s">
        <v>147</v>
      </c>
      <c r="B7" s="260"/>
      <c r="C7" s="260"/>
      <c r="D7" s="147"/>
      <c r="E7" s="138"/>
    </row>
    <row r="8" spans="1:5" ht="15.75" thickBot="1" x14ac:dyDescent="0.3">
      <c r="A8" s="148">
        <f>('Curr Yr Annual Statements'!C24-'Prev Yr Annual Statements'!C24)/'Prev Yr Annual Statements'!C24</f>
        <v>-1.274412107922248E-2</v>
      </c>
      <c r="B8" s="134"/>
      <c r="C8" s="134"/>
      <c r="D8" s="134"/>
      <c r="E8" s="135"/>
    </row>
    <row r="9" spans="1:5" ht="15.75" thickBot="1" x14ac:dyDescent="0.3"/>
    <row r="10" spans="1:5" x14ac:dyDescent="0.25">
      <c r="A10" s="192" t="s">
        <v>149</v>
      </c>
      <c r="B10" s="147"/>
      <c r="C10" s="147"/>
      <c r="D10" s="147"/>
      <c r="E10" s="138"/>
    </row>
    <row r="11" spans="1:5" x14ac:dyDescent="0.25">
      <c r="A11" s="193" t="s">
        <v>102</v>
      </c>
      <c r="B11" s="149" t="s">
        <v>141</v>
      </c>
      <c r="C11" s="129"/>
      <c r="D11" s="129"/>
      <c r="E11" s="130"/>
    </row>
    <row r="12" spans="1:5" x14ac:dyDescent="0.25">
      <c r="A12" s="128" t="s">
        <v>25</v>
      </c>
      <c r="B12" s="194">
        <f>'Curr Yr Annual Statements'!D29</f>
        <v>29040000</v>
      </c>
      <c r="C12" s="131">
        <f>B12/B14</f>
        <v>0.29057434460676407</v>
      </c>
      <c r="D12" s="129"/>
      <c r="E12" s="130"/>
    </row>
    <row r="13" spans="1:5" x14ac:dyDescent="0.25">
      <c r="A13" s="128" t="s">
        <v>150</v>
      </c>
      <c r="B13" s="194">
        <f>'Curr Yr Annual Statements'!D47-'Curr Yr Annual Statements'!D29</f>
        <v>70900000</v>
      </c>
      <c r="C13" s="131">
        <f>B13/B14</f>
        <v>0.70942565539323599</v>
      </c>
      <c r="D13" s="129"/>
      <c r="E13" s="130"/>
    </row>
    <row r="14" spans="1:5" ht="15.75" thickBot="1" x14ac:dyDescent="0.3">
      <c r="A14" s="133" t="s">
        <v>23</v>
      </c>
      <c r="B14" s="190">
        <f>SUM(B12:B13)</f>
        <v>99940000</v>
      </c>
      <c r="C14" s="134"/>
      <c r="D14" s="134"/>
      <c r="E14" s="135"/>
    </row>
    <row r="15" spans="1:5" ht="15.75" thickBot="1" x14ac:dyDescent="0.3"/>
    <row r="16" spans="1:5" x14ac:dyDescent="0.25">
      <c r="A16" s="259" t="s">
        <v>167</v>
      </c>
      <c r="B16" s="260"/>
      <c r="C16" s="260"/>
      <c r="D16" s="260"/>
      <c r="E16" s="261"/>
    </row>
    <row r="17" spans="1:5" x14ac:dyDescent="0.25">
      <c r="A17" s="187"/>
      <c r="B17" s="129" t="s">
        <v>140</v>
      </c>
      <c r="C17" s="129" t="s">
        <v>141</v>
      </c>
      <c r="D17" s="174"/>
      <c r="E17" s="188"/>
    </row>
    <row r="18" spans="1:5" x14ac:dyDescent="0.25">
      <c r="A18" s="128" t="s">
        <v>166</v>
      </c>
      <c r="B18" s="146">
        <f>B3</f>
        <v>254</v>
      </c>
      <c r="C18" s="146">
        <f>C3</f>
        <v>289</v>
      </c>
      <c r="D18" s="189"/>
      <c r="E18" s="130"/>
    </row>
    <row r="19" spans="1:5" x14ac:dyDescent="0.25">
      <c r="A19" s="128" t="s">
        <v>164</v>
      </c>
      <c r="B19" s="129">
        <v>4</v>
      </c>
      <c r="C19" s="129">
        <v>5</v>
      </c>
      <c r="D19" s="189"/>
      <c r="E19" s="130"/>
    </row>
    <row r="20" spans="1:5" ht="15.75" thickBot="1" x14ac:dyDescent="0.3">
      <c r="A20" s="133" t="s">
        <v>165</v>
      </c>
      <c r="B20" s="190">
        <f>B18/B19</f>
        <v>63.5</v>
      </c>
      <c r="C20" s="190">
        <f>C18/C19</f>
        <v>57.8</v>
      </c>
      <c r="D20" s="191"/>
      <c r="E20" s="135"/>
    </row>
    <row r="21" spans="1:5" ht="15.75" thickBot="1" x14ac:dyDescent="0.3"/>
    <row r="22" spans="1:5" x14ac:dyDescent="0.25">
      <c r="A22" s="259" t="s">
        <v>182</v>
      </c>
      <c r="B22" s="260"/>
      <c r="C22" s="147"/>
      <c r="D22" s="147"/>
      <c r="E22" s="138"/>
    </row>
    <row r="23" spans="1:5" ht="15.75" thickBot="1" x14ac:dyDescent="0.3">
      <c r="A23" s="226">
        <f>('Curr Yr Annual Statements'!$J$21-'Prev Yr Annual Statements'!$J$21)/'Curr Yr Annual Statements'!J21</f>
        <v>0.10976196513027732</v>
      </c>
      <c r="B23" s="134"/>
      <c r="C23" s="134"/>
      <c r="D23" s="134"/>
      <c r="E23" s="135"/>
    </row>
  </sheetData>
  <mergeCells count="4">
    <mergeCell ref="A1:E1"/>
    <mergeCell ref="A7:C7"/>
    <mergeCell ref="A16:E16"/>
    <mergeCell ref="A22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Prev Yr Annual Statements</vt:lpstr>
      <vt:lpstr>Curr Yr Annual Statements</vt:lpstr>
      <vt:lpstr>Future Projections</vt:lpstr>
      <vt:lpstr>Class Gap Analysis</vt:lpstr>
      <vt:lpstr>Dashboard </vt:lpstr>
      <vt:lpstr>Macro Econ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John Gikiri</cp:lastModifiedBy>
  <dcterms:created xsi:type="dcterms:W3CDTF">2023-02-09T13:23:12Z</dcterms:created>
  <dcterms:modified xsi:type="dcterms:W3CDTF">2023-11-08T10:28:34Z</dcterms:modified>
</cp:coreProperties>
</file>