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Investment Models\FUTURE CASHFLOW MODEL\"/>
    </mc:Choice>
  </mc:AlternateContent>
  <xr:revisionPtr revIDLastSave="0" documentId="13_ncr:1_{AD24C69D-E896-4BFE-95A0-6A5C5277946A}" xr6:coauthVersionLast="36" xr6:coauthVersionMax="41" xr10:uidLastSave="{00000000-0000-0000-0000-000000000000}"/>
  <bookViews>
    <workbookView xWindow="-120" yWindow="-120" windowWidth="15465" windowHeight="4065" activeTab="3" xr2:uid="{CAD48961-AB6A-4485-9072-72758F24B261}"/>
  </bookViews>
  <sheets>
    <sheet name="Cover Page" sheetId="5" r:id="rId1"/>
    <sheet name="Risk Based Pricing" sheetId="11" r:id="rId2"/>
    <sheet name="Affordability" sheetId="12" r:id="rId3"/>
    <sheet name="Macro Econ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2" l="1"/>
  <c r="I8" i="12"/>
  <c r="K8" i="12"/>
  <c r="J8" i="12"/>
  <c r="F8" i="12"/>
  <c r="G8" i="12"/>
  <c r="G7" i="12"/>
  <c r="B39" i="12"/>
  <c r="B37" i="12"/>
  <c r="B36" i="12"/>
  <c r="B35" i="12"/>
  <c r="B30" i="12"/>
  <c r="B25" i="12"/>
  <c r="B26" i="12" s="1"/>
  <c r="B24" i="12"/>
  <c r="B23" i="12"/>
  <c r="B19" i="12"/>
  <c r="B18" i="12"/>
  <c r="B17" i="12"/>
  <c r="B12" i="12"/>
  <c r="B6" i="12"/>
  <c r="B8" i="12" s="1"/>
  <c r="B9" i="12" s="1"/>
  <c r="B14" i="12" s="1"/>
  <c r="B16" i="12" s="1"/>
  <c r="B2" i="12"/>
  <c r="B4" i="12" s="1"/>
  <c r="Z3" i="11" l="1"/>
  <c r="F3" i="11"/>
  <c r="D3" i="11"/>
  <c r="K3" i="11"/>
  <c r="AF3" i="11"/>
  <c r="AG13" i="11"/>
  <c r="AG12" i="11"/>
  <c r="AG11" i="11"/>
  <c r="AG10" i="11"/>
  <c r="V3" i="11"/>
  <c r="T3" i="11"/>
  <c r="H3" i="11"/>
  <c r="I3" i="11" s="1"/>
  <c r="AD3" i="11"/>
  <c r="AB3" i="11"/>
  <c r="X3" i="11"/>
  <c r="Q3" i="11"/>
  <c r="O3" i="11"/>
  <c r="M3" i="11"/>
  <c r="D15" i="5"/>
  <c r="J6" i="6"/>
  <c r="J5" i="6"/>
  <c r="J4" i="6"/>
  <c r="J3" i="6"/>
  <c r="AG3" i="11" l="1"/>
  <c r="AH3" i="11" s="1"/>
  <c r="AI3" i="11" s="1"/>
  <c r="AG14" i="11"/>
  <c r="D9" i="5" l="1"/>
  <c r="K14" i="6" l="1"/>
  <c r="K15" i="6"/>
  <c r="K13" i="6"/>
  <c r="K12" i="6"/>
  <c r="D20" i="6"/>
  <c r="D21" i="6"/>
  <c r="D19" i="6"/>
  <c r="D13" i="6"/>
  <c r="D14" i="6"/>
  <c r="D12" i="6"/>
  <c r="D11" i="6"/>
  <c r="D5" i="6"/>
  <c r="D6" i="6"/>
  <c r="D4" i="6"/>
  <c r="D18" i="6"/>
  <c r="D3" i="6"/>
  <c r="K16" i="6" l="1"/>
  <c r="D15" i="6"/>
  <c r="D7" i="6"/>
  <c r="D22" i="6"/>
  <c r="D16" i="5" l="1"/>
  <c r="D14" i="5"/>
  <c r="D13" i="5"/>
  <c r="D12" i="5"/>
  <c r="D11" i="5"/>
  <c r="D10" i="5"/>
  <c r="D17" i="5" l="1"/>
</calcChain>
</file>

<file path=xl/sharedStrings.xml><?xml version="1.0" encoding="utf-8"?>
<sst xmlns="http://schemas.openxmlformats.org/spreadsheetml/2006/main" count="270" uniqueCount="189">
  <si>
    <t>Less Customer Contribution</t>
  </si>
  <si>
    <t>Description of Project</t>
  </si>
  <si>
    <t>Estimated Cost</t>
  </si>
  <si>
    <t>Total Estimated Cost of Project</t>
  </si>
  <si>
    <t>Loan Amount requested from EPA</t>
  </si>
  <si>
    <t>Eligible Income</t>
  </si>
  <si>
    <t>Net Appraised Monthly Income</t>
  </si>
  <si>
    <t>Totals</t>
  </si>
  <si>
    <t>Loan Tenor (Months)</t>
  </si>
  <si>
    <t>Construction</t>
  </si>
  <si>
    <t xml:space="preserve">Inputs </t>
  </si>
  <si>
    <t xml:space="preserve">Blue </t>
  </si>
  <si>
    <t xml:space="preserve">Outputs and Calculations </t>
  </si>
  <si>
    <t>Black</t>
  </si>
  <si>
    <t xml:space="preserve">References to another sheet </t>
  </si>
  <si>
    <t xml:space="preserve">Green </t>
  </si>
  <si>
    <t xml:space="preserve">Assumptions </t>
  </si>
  <si>
    <t xml:space="preserve">Blue shading </t>
  </si>
  <si>
    <t xml:space="preserve">Projections </t>
  </si>
  <si>
    <t>Green Shading</t>
  </si>
  <si>
    <t>Forecast</t>
  </si>
  <si>
    <t xml:space="preserve">PROJECT DESCRIPTION </t>
  </si>
  <si>
    <t>MODEL GUIDE</t>
  </si>
  <si>
    <t>FUNDING REQUEST (KES)</t>
  </si>
  <si>
    <t>Umployment Rate</t>
  </si>
  <si>
    <t>Inflation</t>
  </si>
  <si>
    <t>GDP</t>
  </si>
  <si>
    <t>Source</t>
  </si>
  <si>
    <t>Weights</t>
  </si>
  <si>
    <t>Year</t>
  </si>
  <si>
    <t>Total</t>
  </si>
  <si>
    <t>Best Case</t>
  </si>
  <si>
    <t>Worst Case</t>
  </si>
  <si>
    <t>Inflation rate Band</t>
  </si>
  <si>
    <t>Worst</t>
  </si>
  <si>
    <t>Base</t>
  </si>
  <si>
    <t>Best</t>
  </si>
  <si>
    <t>https://www.treasury.go.ke/wp-content/uploads/2022/08/NOTICE-ON-PRICE-STABILITY-TARGET.pdf</t>
  </si>
  <si>
    <t>Central Bank lending Base Rate</t>
  </si>
  <si>
    <t>Bands</t>
  </si>
  <si>
    <t>https://www.centralbank.go.ke/annual-gdp/</t>
  </si>
  <si>
    <t>Kenya Unemployment Rate - 2023 Data - 2024 Forecast - 1991-2022 Historical - Chart (tradingeconomics.com)</t>
  </si>
  <si>
    <t>Macro-Econ</t>
  </si>
  <si>
    <t>Year 2024</t>
  </si>
  <si>
    <t>Rate</t>
  </si>
  <si>
    <t>Student Teacher Ratio</t>
  </si>
  <si>
    <t>https://tradingeconomics.com/kenya/interest-rate#:~:text=In%20the%20long%2Dterm%2C%20the,according%20to%20our%20econometric%20models.&amp;text=In%20Kenya%2C%20interest%20rates%20decisions,The%20Central%20Bank%20of%20Kenya.</t>
  </si>
  <si>
    <t>Interesr Rate</t>
  </si>
  <si>
    <t>Current Case</t>
  </si>
  <si>
    <t>ORGANIZATION'S NAME:</t>
  </si>
  <si>
    <t xml:space="preserve">ORGANIZATION'S LOCATION:  </t>
  </si>
  <si>
    <t>INDUSTRY</t>
  </si>
  <si>
    <t>XYZ International School</t>
  </si>
  <si>
    <t>Education</t>
  </si>
  <si>
    <t>Molo Nakuru County</t>
  </si>
  <si>
    <t>Holidays</t>
  </si>
  <si>
    <t>Break Even</t>
  </si>
  <si>
    <t>Red</t>
  </si>
  <si>
    <t>https://www.centralbank.go.ke/inflation-rates/</t>
  </si>
  <si>
    <t>https://data.worldbank.org/indicator/NY.GDP.MKTP.KD.ZG?locations=KE</t>
  </si>
  <si>
    <t>https://data.worldbank.org/indicator/SL.UEM.TOTL.ZS?locations=KE</t>
  </si>
  <si>
    <t>https://www.centralbank.go.ke/category/monetary-policy/</t>
  </si>
  <si>
    <t>https://www.statista.com/statistics/451108/gross-domestic-product-gdp-growth-rate-in-kenya/</t>
  </si>
  <si>
    <t>https://tradingeconomics.com/kenya/inflation-cpi#:~:text=Inflation%20Rate%20in%20Kenya%20is,according%20to%20our%20econometric%20models.</t>
  </si>
  <si>
    <t>https://tradingeconomics.com/kenya/unemployment-rate#:~:text=In%20the%20long%2Dterm%2C%20the,according%20to%20our%20econometric%20models.&amp;text=In%20Kenya%2C%20the%20unemployment%20rate,percentage%20of%20the%20labour%20force.</t>
  </si>
  <si>
    <t>School Registration Status (Full. Provisional, Ongoing, Unregistered)</t>
  </si>
  <si>
    <t>School Registration Risk Rating [Unregistered 1, Ongoing 2, Provisional 3, Full 4]</t>
  </si>
  <si>
    <t>Student Count</t>
  </si>
  <si>
    <t>Student Count Risk Rating [Below 200 - 1, Above 200- 2)</t>
  </si>
  <si>
    <t>No of Teachers</t>
  </si>
  <si>
    <t>Teacher Student Ratio Risk Rating [Above25 - 1, Below 25 - 2)</t>
  </si>
  <si>
    <t>School Vintage to date (years)</t>
  </si>
  <si>
    <t>School Vintage Risk Rating [Below 3 - 1, Above 3 - 2)</t>
  </si>
  <si>
    <t>Minimum Fee Charged</t>
  </si>
  <si>
    <t>Minimum Fee Charged Risk Rating [Below Kes.3,000 - 1, Above Kes.3,000 - 2)</t>
  </si>
  <si>
    <t>Fee Collection Effeciency (%)</t>
  </si>
  <si>
    <t>Fee Collection Effeciency % Risk Rating [Below 75% - 1, Above 75% - 2)</t>
  </si>
  <si>
    <t>Debt Burden Ratio</t>
  </si>
  <si>
    <t>Debt Burden Risk Rating [Above 60% - 1, Below 60% - 2)</t>
  </si>
  <si>
    <t>Nature of Collateral Owned/Third Party</t>
  </si>
  <si>
    <t>Owned/Third Party Collateral Risk Rating [Third Party  1, Owned 2]</t>
  </si>
  <si>
    <t>Loan Secured/ Unsecured/Partially Secured</t>
  </si>
  <si>
    <t>Secured, Unsecured, Partially Secured Risk Rating [Unsecured  1, Partially Secured 2, Secured 3)</t>
  </si>
  <si>
    <t xml:space="preserve">Premises (Rented/Owned)         </t>
  </si>
  <si>
    <t xml:space="preserve">Premises Risk Rating          Rented -1, Owned 2 </t>
  </si>
  <si>
    <t xml:space="preserve">Past Credit Performance From CRB (Worst DPD) 
</t>
  </si>
  <si>
    <t>Past Credit Performance From CRB (Worst DPD) Risk Rating
0 days - 4
0-14 days - 3
15-29 days- 2
30-90 days =1
&gt; 90 days =0</t>
  </si>
  <si>
    <t>Total Rating Score</t>
  </si>
  <si>
    <t>Risk Rating</t>
  </si>
  <si>
    <t>Unregistered</t>
  </si>
  <si>
    <t>Full Registration</t>
  </si>
  <si>
    <t>Third Party</t>
  </si>
  <si>
    <t xml:space="preserve">Owned </t>
  </si>
  <si>
    <t>Unsecured</t>
  </si>
  <si>
    <t>Yes</t>
  </si>
  <si>
    <t>Owned</t>
  </si>
  <si>
    <t>Clear Communication Platform to parents/Guardians</t>
  </si>
  <si>
    <t>Rating School has Clear Communication (Yes/No) Risk Rating
Yes =2
No=0</t>
  </si>
  <si>
    <t xml:space="preserve">School CRB Score Band
</t>
  </si>
  <si>
    <t>Micro-Economics Conditions</t>
  </si>
  <si>
    <t>Micro-Economics Conditions
Score of &gt; = -6.20 = 1
Score of &lt; -4.20 = 2</t>
  </si>
  <si>
    <t xml:space="preserve">CRB Score Band
AA to CC = 6
DD = 3
Below DD = 1
</t>
  </si>
  <si>
    <t>Below DD</t>
  </si>
  <si>
    <t>Pricing = Lending Base Rate(25%) + Risk Base Pricing
If Low = 25% + 3% = 28%
If Medium = 25% + 3.5% = 28.5%
If High = 25% + 7% = 32%</t>
  </si>
  <si>
    <t>Collateral</t>
  </si>
  <si>
    <t>Collections Efficiency</t>
  </si>
  <si>
    <t>EPAL expected collecions efficiency</t>
  </si>
  <si>
    <t>Collections efficiency deviation</t>
  </si>
  <si>
    <t>Cashflow Affordability</t>
  </si>
  <si>
    <t>Gross Annual Fee Income</t>
  </si>
  <si>
    <t>EPAL Profitability Margin</t>
  </si>
  <si>
    <t>Net Annual Income</t>
  </si>
  <si>
    <t>Monthly Net Fee Income</t>
  </si>
  <si>
    <t>Product</t>
  </si>
  <si>
    <t>Super</t>
  </si>
  <si>
    <t>Appraised Obligations per month</t>
  </si>
  <si>
    <t>Max EMI (Post Existing Obligation)</t>
  </si>
  <si>
    <t>Maximum Tenor (Months)</t>
  </si>
  <si>
    <t>Rate Of Interest</t>
  </si>
  <si>
    <t>EPA EMI</t>
  </si>
  <si>
    <t>Eligibility</t>
  </si>
  <si>
    <t>EMI</t>
  </si>
  <si>
    <t>INTEREST</t>
  </si>
  <si>
    <t>Reducing</t>
  </si>
  <si>
    <t>TENOR</t>
  </si>
  <si>
    <t>Months</t>
  </si>
  <si>
    <t>MAXIMUM ELIGIBLE AMOUNT</t>
  </si>
  <si>
    <t>Loan Calculator</t>
  </si>
  <si>
    <t>Client's budget (Principal)</t>
  </si>
  <si>
    <t>Tenor (Months)</t>
  </si>
  <si>
    <t>Annual Interest Rate</t>
  </si>
  <si>
    <t>Loan Processing</t>
  </si>
  <si>
    <t>Credit Life Rate</t>
  </si>
  <si>
    <t>BUY OFF</t>
  </si>
  <si>
    <t xml:space="preserve">Net Take home   </t>
  </si>
  <si>
    <t>Collateral Affordability</t>
  </si>
  <si>
    <t>Appx FSV</t>
  </si>
  <si>
    <t>Land</t>
  </si>
  <si>
    <t>M/Vehicle</t>
  </si>
  <si>
    <t>Security Extention</t>
  </si>
  <si>
    <t>Tier</t>
  </si>
  <si>
    <t>Residential</t>
  </si>
  <si>
    <t>Security Age (Yrs)</t>
  </si>
  <si>
    <t>Vehicle Purpose</t>
  </si>
  <si>
    <t>Private Vehicle</t>
  </si>
  <si>
    <t>10 - 15.</t>
  </si>
  <si>
    <t>Debentures</t>
  </si>
  <si>
    <t>Chattels</t>
  </si>
  <si>
    <t>Bank Guarantee</t>
  </si>
  <si>
    <t>NSE Q Shares</t>
  </si>
  <si>
    <t>Maximum Loan Limit Amt</t>
  </si>
  <si>
    <t>Qualifying Amt</t>
  </si>
  <si>
    <t>Chattles</t>
  </si>
  <si>
    <t>Commercial</t>
  </si>
  <si>
    <t>School Property</t>
  </si>
  <si>
    <t>Security Extension Factors: Property Town size/level</t>
  </si>
  <si>
    <t>Ultra-urban (Developed)</t>
  </si>
  <si>
    <t>60% of FSV</t>
  </si>
  <si>
    <t>80% of FSV</t>
  </si>
  <si>
    <t>70% of FSV</t>
  </si>
  <si>
    <t>Ultra-urban (Undeveloped)</t>
  </si>
  <si>
    <t>Major Urban (Developed)</t>
  </si>
  <si>
    <t>50% of FSV</t>
  </si>
  <si>
    <t>75% of FSV</t>
  </si>
  <si>
    <t>Major Urban (Undeveloped)</t>
  </si>
  <si>
    <t>Urban (Developed)</t>
  </si>
  <si>
    <t>45% of FSV</t>
  </si>
  <si>
    <t>55% of FSV</t>
  </si>
  <si>
    <t>Urban (Undeveloped)</t>
  </si>
  <si>
    <t>Suburban/Shopping Centre (Developed)</t>
  </si>
  <si>
    <t>65% of FSV</t>
  </si>
  <si>
    <t>Suburban/Shopping Centre (Undeveloped)</t>
  </si>
  <si>
    <t>Rural/Trading Centre (Developed)</t>
  </si>
  <si>
    <t>40% of FSV</t>
  </si>
  <si>
    <t>Rural/Trading Centre (Undeveloped)</t>
  </si>
  <si>
    <t>Rural Agricultural</t>
  </si>
  <si>
    <t>30% of FSV</t>
  </si>
  <si>
    <t>35% of FSV</t>
  </si>
  <si>
    <t>Rural Commercial Agricultural</t>
  </si>
  <si>
    <t xml:space="preserve">Security Age </t>
  </si>
  <si>
    <t>School Van/Bus</t>
  </si>
  <si>
    <t>Max Loan Duration (Months)</t>
  </si>
  <si>
    <t>Max loan</t>
  </si>
  <si>
    <t>Amount (KES)</t>
  </si>
  <si>
    <t>Loan To Value Ratio (LTV)</t>
  </si>
  <si>
    <t>0 – 3 Years</t>
  </si>
  <si>
    <t>4 – 9 Years</t>
  </si>
  <si>
    <t>10 – 15 Years</t>
  </si>
  <si>
    <t>NB: All MV to be depreciated at a rate of 30% p.a.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</si>
</sst>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_-* #,##0.00_-;\-* #,##0.00_-;_-* &quot;-&quot;??_-;_-@_-"/>
    <numFmt numFmtId="167" formatCode="0.0%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sz val="10"/>
      <color rgb="FF0070C0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0"/>
      <color rgb="FF0070C0"/>
      <name val="Century Gothic"/>
      <family val="2"/>
    </font>
    <font>
      <sz val="10"/>
      <color theme="4"/>
      <name val="Century Gothic"/>
      <family val="2"/>
    </font>
    <font>
      <sz val="10"/>
      <color rgb="FF00B050"/>
      <name val="Century Gothic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rgb="FFFF0000"/>
      <name val="Century Gothic"/>
      <family val="2"/>
    </font>
    <font>
      <sz val="11"/>
      <color rgb="FF9C0006"/>
      <name val="Calibri"/>
      <family val="2"/>
      <scheme val="minor"/>
    </font>
    <font>
      <sz val="10"/>
      <color theme="8" tint="-0.249977111117893"/>
      <name val="Century Gothic"/>
      <family val="2"/>
    </font>
    <font>
      <b/>
      <sz val="10"/>
      <color theme="1"/>
      <name val="Cambria"/>
      <family val="1"/>
    </font>
    <font>
      <b/>
      <sz val="10"/>
      <name val="Cambria"/>
      <family val="1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b/>
      <sz val="12"/>
      <name val="Calibri"/>
      <family val="2"/>
    </font>
    <font>
      <b/>
      <sz val="12"/>
      <color rgb="FF000000"/>
      <name val="Century Gothic"/>
      <family val="2"/>
    </font>
    <font>
      <b/>
      <sz val="12"/>
      <color theme="8" tint="-0.249977111117893"/>
      <name val="Century Gothic"/>
      <family val="2"/>
    </font>
    <font>
      <b/>
      <sz val="12"/>
      <color rgb="FF9C0006"/>
      <name val="Calibri"/>
      <family val="2"/>
      <scheme val="minor"/>
    </font>
    <font>
      <i/>
      <sz val="10"/>
      <color theme="1"/>
      <name val="Century Gothic"/>
      <family val="2"/>
    </font>
    <font>
      <b/>
      <u/>
      <sz val="10"/>
      <color theme="1"/>
      <name val="Century Gothic"/>
      <family val="2"/>
    </font>
    <font>
      <b/>
      <sz val="10"/>
      <color theme="0"/>
      <name val="Cambria"/>
      <family val="1"/>
    </font>
    <font>
      <b/>
      <sz val="12"/>
      <color theme="0"/>
      <name val="Calibri"/>
      <family val="2"/>
    </font>
    <font>
      <b/>
      <sz val="12"/>
      <color rgb="FF0070C0"/>
      <name val="Century Gothic"/>
      <family val="2"/>
    </font>
    <font>
      <sz val="11"/>
      <color rgb="FF0070C0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rgb="FFF2F2F2"/>
      <name val="Calibri"/>
      <family val="2"/>
    </font>
    <font>
      <sz val="12"/>
      <color rgb="FF000000"/>
      <name val="Avenir Next LT Pro"/>
      <family val="2"/>
    </font>
    <font>
      <sz val="12"/>
      <color rgb="FF00B050"/>
      <name val="Avenir Next LT Pro"/>
      <family val="2"/>
    </font>
    <font>
      <b/>
      <sz val="12"/>
      <color rgb="FFFFFFFF"/>
      <name val="Avenir Next LT Pro"/>
      <family val="2"/>
    </font>
    <font>
      <b/>
      <sz val="12"/>
      <color rgb="FF000000"/>
      <name val="Avenir Next LT Pro"/>
      <family val="2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1B7DA9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/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5" fillId="7" borderId="0" applyNumberFormat="0" applyBorder="0" applyAlignment="0" applyProtection="0"/>
  </cellStyleXfs>
  <cellXfs count="188">
    <xf numFmtId="0" fontId="0" fillId="0" borderId="0" xfId="0"/>
    <xf numFmtId="0" fontId="3" fillId="0" borderId="0" xfId="0" applyFont="1"/>
    <xf numFmtId="0" fontId="3" fillId="0" borderId="0" xfId="0" applyFont="1" applyFill="1"/>
    <xf numFmtId="0" fontId="2" fillId="4" borderId="0" xfId="0" applyFont="1" applyFill="1"/>
    <xf numFmtId="0" fontId="3" fillId="0" borderId="1" xfId="0" applyFont="1" applyBorder="1"/>
    <xf numFmtId="0" fontId="2" fillId="4" borderId="1" xfId="0" applyFont="1" applyFill="1" applyBorder="1"/>
    <xf numFmtId="165" fontId="3" fillId="0" borderId="1" xfId="1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165" fontId="3" fillId="0" borderId="1" xfId="0" applyNumberFormat="1" applyFont="1" applyBorder="1" applyAlignment="1">
      <alignment horizontal="right"/>
    </xf>
    <xf numFmtId="0" fontId="2" fillId="2" borderId="9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9" fillId="0" borderId="1" xfId="0" applyFont="1" applyBorder="1"/>
    <xf numFmtId="0" fontId="10" fillId="0" borderId="1" xfId="0" applyFont="1" applyBorder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 applyAlignment="1"/>
    <xf numFmtId="10" fontId="3" fillId="0" borderId="0" xfId="2" applyNumberFormat="1" applyFont="1"/>
    <xf numFmtId="0" fontId="6" fillId="0" borderId="9" xfId="0" applyFont="1" applyBorder="1"/>
    <xf numFmtId="0" fontId="6" fillId="0" borderId="0" xfId="0" applyFont="1" applyBorder="1"/>
    <xf numFmtId="0" fontId="3" fillId="0" borderId="10" xfId="0" applyFont="1" applyBorder="1"/>
    <xf numFmtId="0" fontId="3" fillId="0" borderId="9" xfId="0" applyFont="1" applyBorder="1"/>
    <xf numFmtId="167" fontId="3" fillId="0" borderId="0" xfId="2" applyNumberFormat="1" applyFont="1" applyBorder="1"/>
    <xf numFmtId="0" fontId="3" fillId="0" borderId="0" xfId="0" applyFont="1" applyBorder="1"/>
    <xf numFmtId="10" fontId="3" fillId="0" borderId="0" xfId="2" applyNumberFormat="1" applyFont="1" applyBorder="1"/>
    <xf numFmtId="2" fontId="11" fillId="0" borderId="10" xfId="3" applyNumberFormat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10" fontId="3" fillId="0" borderId="7" xfId="2" applyNumberFormat="1" applyFont="1" applyBorder="1"/>
    <xf numFmtId="0" fontId="3" fillId="0" borderId="8" xfId="0" applyFont="1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167" fontId="0" fillId="0" borderId="0" xfId="2" applyNumberFormat="1" applyFont="1" applyBorder="1"/>
    <xf numFmtId="10" fontId="0" fillId="0" borderId="0" xfId="2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0" fontId="0" fillId="0" borderId="0" xfId="0" applyNumberFormat="1" applyBorder="1"/>
    <xf numFmtId="0" fontId="0" fillId="0" borderId="3" xfId="0" applyBorder="1"/>
    <xf numFmtId="0" fontId="0" fillId="0" borderId="5" xfId="0" applyBorder="1"/>
    <xf numFmtId="0" fontId="11" fillId="0" borderId="10" xfId="3" applyBorder="1"/>
    <xf numFmtId="0" fontId="11" fillId="0" borderId="10" xfId="3" applyBorder="1" applyAlignment="1">
      <alignment vertical="center"/>
    </xf>
    <xf numFmtId="0" fontId="11" fillId="0" borderId="8" xfId="3" applyBorder="1"/>
    <xf numFmtId="165" fontId="0" fillId="0" borderId="0" xfId="0" applyNumberFormat="1" applyBorder="1"/>
    <xf numFmtId="165" fontId="0" fillId="0" borderId="0" xfId="1" applyFont="1" applyBorder="1"/>
    <xf numFmtId="39" fontId="3" fillId="0" borderId="1" xfId="1" applyNumberFormat="1" applyFont="1" applyBorder="1" applyAlignment="1">
      <alignment horizontal="right"/>
    </xf>
    <xf numFmtId="0" fontId="3" fillId="5" borderId="1" xfId="0" applyFont="1" applyFill="1" applyBorder="1"/>
    <xf numFmtId="10" fontId="0" fillId="5" borderId="7" xfId="0" applyNumberFormat="1" applyFill="1" applyBorder="1"/>
    <xf numFmtId="10" fontId="0" fillId="5" borderId="0" xfId="0" applyNumberFormat="1" applyFill="1" applyBorder="1"/>
    <xf numFmtId="167" fontId="0" fillId="5" borderId="0" xfId="0" applyNumberFormat="1" applyFill="1" applyBorder="1"/>
    <xf numFmtId="167" fontId="0" fillId="5" borderId="0" xfId="2" applyNumberFormat="1" applyFont="1" applyFill="1" applyBorder="1"/>
    <xf numFmtId="10" fontId="0" fillId="5" borderId="7" xfId="2" applyNumberFormat="1" applyFont="1" applyFill="1" applyBorder="1"/>
    <xf numFmtId="0" fontId="3" fillId="3" borderId="1" xfId="0" applyFont="1" applyFill="1" applyBorder="1"/>
    <xf numFmtId="0" fontId="14" fillId="0" borderId="1" xfId="0" applyFont="1" applyBorder="1"/>
    <xf numFmtId="165" fontId="9" fillId="0" borderId="1" xfId="1" applyFont="1" applyBorder="1"/>
    <xf numFmtId="165" fontId="16" fillId="0" borderId="1" xfId="1" applyFont="1" applyBorder="1" applyAlignment="1">
      <alignment horizontal="right"/>
    </xf>
    <xf numFmtId="0" fontId="19" fillId="0" borderId="0" xfId="0" applyFont="1" applyFill="1" applyBorder="1"/>
    <xf numFmtId="0" fontId="20" fillId="0" borderId="0" xfId="0" applyFont="1" applyFill="1" applyBorder="1"/>
    <xf numFmtId="0" fontId="20" fillId="0" borderId="0" xfId="0" applyFont="1" applyFill="1" applyBorder="1" applyProtection="1">
      <protection locked="0"/>
    </xf>
    <xf numFmtId="0" fontId="21" fillId="0" borderId="0" xfId="0" applyFont="1" applyFill="1" applyBorder="1"/>
    <xf numFmtId="165" fontId="20" fillId="0" borderId="0" xfId="1" applyFont="1" applyFill="1" applyBorder="1"/>
    <xf numFmtId="9" fontId="20" fillId="0" borderId="0" xfId="2" applyFont="1" applyFill="1" applyBorder="1" applyProtection="1">
      <protection locked="0"/>
    </xf>
    <xf numFmtId="9" fontId="22" fillId="0" borderId="0" xfId="2" applyFont="1" applyFill="1" applyBorder="1" applyProtection="1">
      <protection locked="0"/>
    </xf>
    <xf numFmtId="0" fontId="20" fillId="0" borderId="0" xfId="1" applyNumberFormat="1" applyFont="1" applyFill="1" applyBorder="1" applyProtection="1">
      <protection locked="0"/>
    </xf>
    <xf numFmtId="0" fontId="20" fillId="6" borderId="0" xfId="0" applyFont="1" applyFill="1" applyBorder="1"/>
    <xf numFmtId="0" fontId="20" fillId="0" borderId="0" xfId="0" applyNumberFormat="1" applyFont="1" applyFill="1" applyBorder="1"/>
    <xf numFmtId="0" fontId="19" fillId="8" borderId="0" xfId="0" applyFont="1" applyFill="1" applyBorder="1"/>
    <xf numFmtId="0" fontId="20" fillId="8" borderId="0" xfId="0" applyFont="1" applyFill="1" applyBorder="1"/>
    <xf numFmtId="0" fontId="23" fillId="8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4" fillId="0" borderId="9" xfId="0" applyFont="1" applyBorder="1"/>
    <xf numFmtId="0" fontId="4" fillId="0" borderId="0" xfId="0" applyFont="1" applyBorder="1"/>
    <xf numFmtId="0" fontId="2" fillId="0" borderId="10" xfId="0" applyFont="1" applyBorder="1"/>
    <xf numFmtId="0" fontId="2" fillId="0" borderId="9" xfId="0" applyFont="1" applyBorder="1"/>
    <xf numFmtId="0" fontId="2" fillId="0" borderId="6" xfId="0" applyFont="1" applyBorder="1"/>
    <xf numFmtId="167" fontId="27" fillId="0" borderId="0" xfId="2" applyNumberFormat="1" applyFont="1" applyBorder="1"/>
    <xf numFmtId="0" fontId="27" fillId="0" borderId="0" xfId="0" applyFont="1" applyBorder="1"/>
    <xf numFmtId="10" fontId="27" fillId="0" borderId="0" xfId="2" applyNumberFormat="1" applyFont="1" applyBorder="1"/>
    <xf numFmtId="10" fontId="28" fillId="0" borderId="7" xfId="2" applyNumberFormat="1" applyFont="1" applyBorder="1"/>
    <xf numFmtId="0" fontId="17" fillId="0" borderId="12" xfId="0" applyNumberFormat="1" applyFont="1" applyFill="1" applyBorder="1" applyAlignment="1">
      <alignment vertical="top" wrapText="1" readingOrder="1"/>
    </xf>
    <xf numFmtId="0" fontId="17" fillId="0" borderId="13" xfId="0" applyNumberFormat="1" applyFont="1" applyFill="1" applyBorder="1" applyAlignment="1">
      <alignment vertical="top" wrapText="1" readingOrder="1"/>
    </xf>
    <xf numFmtId="0" fontId="17" fillId="2" borderId="13" xfId="0" applyNumberFormat="1" applyFont="1" applyFill="1" applyBorder="1" applyAlignment="1">
      <alignment vertical="top" wrapText="1" readingOrder="1"/>
    </xf>
    <xf numFmtId="0" fontId="17" fillId="0" borderId="13" xfId="0" applyNumberFormat="1" applyFont="1" applyFill="1" applyBorder="1" applyAlignment="1" applyProtection="1">
      <alignment vertical="top" wrapText="1" readingOrder="1"/>
      <protection locked="0"/>
    </xf>
    <xf numFmtId="0" fontId="18" fillId="2" borderId="13" xfId="0" applyNumberFormat="1" applyFont="1" applyFill="1" applyBorder="1" applyAlignment="1">
      <alignment vertical="top" wrapText="1" readingOrder="1"/>
    </xf>
    <xf numFmtId="165" fontId="17" fillId="0" borderId="13" xfId="1" applyFont="1" applyFill="1" applyBorder="1" applyAlignment="1">
      <alignment vertical="top" wrapText="1" readingOrder="1"/>
    </xf>
    <xf numFmtId="9" fontId="17" fillId="0" borderId="13" xfId="2" applyFont="1" applyFill="1" applyBorder="1" applyAlignment="1" applyProtection="1">
      <alignment vertical="top" wrapText="1" readingOrder="1"/>
      <protection locked="0"/>
    </xf>
    <xf numFmtId="0" fontId="17" fillId="0" borderId="13" xfId="1" applyNumberFormat="1" applyFont="1" applyFill="1" applyBorder="1" applyAlignment="1" applyProtection="1">
      <alignment vertical="top" wrapText="1" readingOrder="1"/>
      <protection locked="0"/>
    </xf>
    <xf numFmtId="0" fontId="29" fillId="9" borderId="13" xfId="0" applyNumberFormat="1" applyFont="1" applyFill="1" applyBorder="1" applyAlignment="1">
      <alignment vertical="top" wrapText="1" readingOrder="1"/>
    </xf>
    <xf numFmtId="0" fontId="24" fillId="0" borderId="15" xfId="0" applyNumberFormat="1" applyFont="1" applyFill="1" applyBorder="1" applyAlignment="1">
      <alignment vertical="center" wrapText="1" readingOrder="1"/>
    </xf>
    <xf numFmtId="0" fontId="25" fillId="0" borderId="15" xfId="0" applyNumberFormat="1" applyFont="1" applyFill="1" applyBorder="1" applyAlignment="1" applyProtection="1">
      <alignment vertical="center" wrapText="1" readingOrder="1"/>
      <protection locked="0"/>
    </xf>
    <xf numFmtId="2" fontId="24" fillId="0" borderId="15" xfId="0" applyNumberFormat="1" applyFont="1" applyFill="1" applyBorder="1" applyAlignment="1" applyProtection="1">
      <alignment vertical="center" wrapText="1" readingOrder="1"/>
      <protection locked="0"/>
    </xf>
    <xf numFmtId="0" fontId="7" fillId="0" borderId="15" xfId="0" applyNumberFormat="1" applyFont="1" applyFill="1" applyBorder="1" applyAlignment="1">
      <alignment vertical="center" wrapText="1" readingOrder="1"/>
    </xf>
    <xf numFmtId="165" fontId="25" fillId="0" borderId="15" xfId="1" applyFont="1" applyFill="1" applyBorder="1" applyAlignment="1">
      <alignment vertical="center" wrapText="1" readingOrder="1"/>
    </xf>
    <xf numFmtId="9" fontId="25" fillId="0" borderId="15" xfId="2" applyFont="1" applyFill="1" applyBorder="1" applyAlignment="1" applyProtection="1">
      <alignment vertical="center" wrapText="1" readingOrder="1"/>
      <protection locked="0"/>
    </xf>
    <xf numFmtId="0" fontId="23" fillId="0" borderId="7" xfId="0" applyFont="1" applyFill="1" applyBorder="1" applyAlignment="1">
      <alignment vertical="center"/>
    </xf>
    <xf numFmtId="0" fontId="25" fillId="0" borderId="15" xfId="0" applyNumberFormat="1" applyFont="1" applyFill="1" applyBorder="1" applyAlignment="1">
      <alignment vertical="center" wrapText="1" readingOrder="1"/>
    </xf>
    <xf numFmtId="9" fontId="24" fillId="0" borderId="16" xfId="2" applyFont="1" applyFill="1" applyBorder="1" applyAlignment="1">
      <alignment vertical="center" wrapText="1" readingOrder="1"/>
    </xf>
    <xf numFmtId="0" fontId="29" fillId="9" borderId="17" xfId="0" applyNumberFormat="1" applyFont="1" applyFill="1" applyBorder="1" applyAlignment="1">
      <alignment vertical="top" wrapText="1" readingOrder="1"/>
    </xf>
    <xf numFmtId="0" fontId="26" fillId="0" borderId="11" xfId="4" applyNumberFormat="1" applyFont="1" applyFill="1" applyBorder="1" applyAlignment="1">
      <alignment vertical="center" wrapText="1" readingOrder="1"/>
    </xf>
    <xf numFmtId="0" fontId="19" fillId="0" borderId="5" xfId="0" applyFont="1" applyFill="1" applyBorder="1" applyAlignment="1">
      <alignment vertical="top" wrapText="1"/>
    </xf>
    <xf numFmtId="167" fontId="30" fillId="9" borderId="8" xfId="2" applyNumberFormat="1" applyFont="1" applyFill="1" applyBorder="1" applyAlignment="1">
      <alignment vertical="center"/>
    </xf>
    <xf numFmtId="9" fontId="31" fillId="0" borderId="15" xfId="2" applyFont="1" applyFill="1" applyBorder="1" applyAlignment="1" applyProtection="1">
      <alignment vertical="center" wrapText="1" readingOrder="1"/>
      <protection locked="0"/>
    </xf>
    <xf numFmtId="0" fontId="31" fillId="0" borderId="15" xfId="0" applyNumberFormat="1" applyFont="1" applyFill="1" applyBorder="1" applyAlignment="1">
      <alignment vertical="center" wrapText="1" readingOrder="1"/>
    </xf>
    <xf numFmtId="0" fontId="31" fillId="0" borderId="15" xfId="0" applyNumberFormat="1" applyFont="1" applyFill="1" applyBorder="1" applyAlignment="1" applyProtection="1">
      <alignment vertical="center" wrapText="1" readingOrder="1"/>
      <protection locked="0"/>
    </xf>
    <xf numFmtId="1" fontId="31" fillId="0" borderId="15" xfId="0" applyNumberFormat="1" applyFont="1" applyFill="1" applyBorder="1" applyAlignment="1">
      <alignment vertical="center" wrapText="1" readingOrder="1"/>
    </xf>
    <xf numFmtId="0" fontId="8" fillId="4" borderId="0" xfId="0" applyFont="1" applyFill="1"/>
    <xf numFmtId="0" fontId="0" fillId="8" borderId="0" xfId="0" applyFill="1"/>
    <xf numFmtId="9" fontId="0" fillId="0" borderId="0" xfId="0" applyNumberFormat="1" applyBorder="1"/>
    <xf numFmtId="9" fontId="12" fillId="0" borderId="0" xfId="0" applyNumberFormat="1" applyFont="1" applyBorder="1"/>
    <xf numFmtId="43" fontId="12" fillId="0" borderId="0" xfId="0" applyNumberFormat="1" applyFont="1" applyBorder="1"/>
    <xf numFmtId="43" fontId="33" fillId="0" borderId="7" xfId="0" applyNumberFormat="1" applyFont="1" applyBorder="1"/>
    <xf numFmtId="43" fontId="0" fillId="0" borderId="0" xfId="0" applyNumberFormat="1" applyBorder="1"/>
    <xf numFmtId="165" fontId="32" fillId="0" borderId="0" xfId="1" applyFont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165" fontId="33" fillId="0" borderId="7" xfId="0" applyNumberFormat="1" applyFont="1" applyBorder="1"/>
    <xf numFmtId="0" fontId="32" fillId="0" borderId="0" xfId="0" applyFont="1" applyBorder="1"/>
    <xf numFmtId="9" fontId="32" fillId="0" borderId="0" xfId="0" applyNumberFormat="1" applyFont="1" applyBorder="1"/>
    <xf numFmtId="40" fontId="0" fillId="0" borderId="0" xfId="0" applyNumberFormat="1" applyBorder="1"/>
    <xf numFmtId="9" fontId="0" fillId="0" borderId="10" xfId="0" applyNumberFormat="1" applyBorder="1"/>
    <xf numFmtId="10" fontId="0" fillId="0" borderId="10" xfId="0" applyNumberFormat="1" applyBorder="1"/>
    <xf numFmtId="0" fontId="12" fillId="0" borderId="6" xfId="0" applyFont="1" applyBorder="1"/>
    <xf numFmtId="0" fontId="12" fillId="0" borderId="9" xfId="0" applyFont="1" applyBorder="1"/>
    <xf numFmtId="165" fontId="33" fillId="0" borderId="7" xfId="1" applyFont="1" applyBorder="1"/>
    <xf numFmtId="0" fontId="0" fillId="0" borderId="0" xfId="0" applyFill="1"/>
    <xf numFmtId="0" fontId="0" fillId="3" borderId="0" xfId="0" applyFill="1" applyBorder="1"/>
    <xf numFmtId="0" fontId="0" fillId="3" borderId="10" xfId="0" applyFill="1" applyBorder="1"/>
    <xf numFmtId="0" fontId="32" fillId="0" borderId="0" xfId="0" applyFont="1" applyBorder="1" applyAlignment="1">
      <alignment horizontal="center"/>
    </xf>
    <xf numFmtId="0" fontId="0" fillId="8" borderId="0" xfId="0" applyFill="1" applyBorder="1"/>
    <xf numFmtId="0" fontId="0" fillId="8" borderId="10" xfId="0" applyFill="1" applyBorder="1"/>
    <xf numFmtId="17" fontId="32" fillId="0" borderId="0" xfId="0" applyNumberFormat="1" applyFont="1" applyBorder="1" applyAlignment="1">
      <alignment horizontal="center"/>
    </xf>
    <xf numFmtId="0" fontId="0" fillId="0" borderId="0" xfId="0" applyFill="1" applyBorder="1"/>
    <xf numFmtId="165" fontId="34" fillId="0" borderId="0" xfId="1" applyFont="1" applyFill="1" applyBorder="1"/>
    <xf numFmtId="165" fontId="34" fillId="0" borderId="10" xfId="1" applyFont="1" applyFill="1" applyBorder="1"/>
    <xf numFmtId="165" fontId="33" fillId="0" borderId="7" xfId="1" applyFont="1" applyFill="1" applyBorder="1"/>
    <xf numFmtId="165" fontId="33" fillId="0" borderId="8" xfId="1" applyFont="1" applyFill="1" applyBorder="1"/>
    <xf numFmtId="0" fontId="31" fillId="0" borderId="14" xfId="0" applyNumberFormat="1" applyFont="1" applyFill="1" applyBorder="1" applyAlignment="1">
      <alignment vertical="center" wrapText="1" readingOrder="1"/>
    </xf>
    <xf numFmtId="9" fontId="5" fillId="0" borderId="1" xfId="0" applyNumberFormat="1" applyFont="1" applyBorder="1" applyAlignment="1">
      <alignment horizontal="right"/>
    </xf>
    <xf numFmtId="0" fontId="35" fillId="11" borderId="18" xfId="0" applyFont="1" applyFill="1" applyBorder="1" applyAlignment="1">
      <alignment horizontal="center" vertical="center" wrapText="1"/>
    </xf>
    <xf numFmtId="0" fontId="36" fillId="0" borderId="18" xfId="0" applyFont="1" applyBorder="1" applyAlignment="1">
      <alignment horizontal="justify" vertical="center" wrapText="1"/>
    </xf>
    <xf numFmtId="0" fontId="36" fillId="0" borderId="18" xfId="0" applyFont="1" applyBorder="1" applyAlignment="1">
      <alignment horizontal="center" vertical="center" wrapText="1"/>
    </xf>
    <xf numFmtId="0" fontId="37" fillId="0" borderId="18" xfId="0" applyFont="1" applyBorder="1" applyAlignment="1">
      <alignment horizontal="justify" vertical="center" wrapText="1"/>
    </xf>
    <xf numFmtId="0" fontId="37" fillId="0" borderId="18" xfId="0" applyFont="1" applyBorder="1" applyAlignment="1">
      <alignment horizontal="center" vertical="center" wrapText="1"/>
    </xf>
    <xf numFmtId="0" fontId="38" fillId="11" borderId="19" xfId="0" applyFont="1" applyFill="1" applyBorder="1" applyAlignment="1">
      <alignment horizontal="justify" vertical="center" wrapText="1"/>
    </xf>
    <xf numFmtId="0" fontId="38" fillId="11" borderId="20" xfId="0" applyFont="1" applyFill="1" applyBorder="1" applyAlignment="1">
      <alignment horizontal="justify" vertical="center" wrapText="1"/>
    </xf>
    <xf numFmtId="0" fontId="0" fillId="11" borderId="21" xfId="0" applyFill="1" applyBorder="1" applyAlignment="1">
      <alignment horizontal="justify" vertical="top" wrapText="1"/>
    </xf>
    <xf numFmtId="0" fontId="38" fillId="11" borderId="21" xfId="0" applyFont="1" applyFill="1" applyBorder="1" applyAlignment="1">
      <alignment horizontal="justify" vertical="center" wrapText="1"/>
    </xf>
    <xf numFmtId="3" fontId="36" fillId="0" borderId="18" xfId="0" applyNumberFormat="1" applyFont="1" applyBorder="1" applyAlignment="1">
      <alignment horizontal="center" vertical="center" wrapText="1"/>
    </xf>
    <xf numFmtId="0" fontId="3" fillId="0" borderId="3" xfId="0" applyFont="1" applyFill="1" applyBorder="1"/>
    <xf numFmtId="0" fontId="5" fillId="0" borderId="5" xfId="0" applyFont="1" applyFill="1" applyBorder="1"/>
    <xf numFmtId="165" fontId="5" fillId="0" borderId="8" xfId="1" applyFont="1" applyBorder="1"/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3" fontId="2" fillId="0" borderId="7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12" fillId="10" borderId="3" xfId="0" applyFont="1" applyFill="1" applyBorder="1" applyAlignment="1">
      <alignment horizontal="center"/>
    </xf>
    <xf numFmtId="0" fontId="12" fillId="10" borderId="4" xfId="0" applyFont="1" applyFill="1" applyBorder="1" applyAlignment="1">
      <alignment horizontal="center"/>
    </xf>
    <xf numFmtId="0" fontId="12" fillId="10" borderId="5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39" fillId="0" borderId="22" xfId="0" applyFont="1" applyBorder="1" applyAlignment="1">
      <alignment horizontal="center" vertical="center" wrapText="1"/>
    </xf>
    <xf numFmtId="0" fontId="39" fillId="0" borderId="23" xfId="0" applyFont="1" applyBorder="1" applyAlignment="1">
      <alignment horizontal="center" vertical="center" wrapText="1"/>
    </xf>
    <xf numFmtId="0" fontId="39" fillId="0" borderId="24" xfId="0" applyFont="1" applyBorder="1" applyAlignment="1">
      <alignment horizontal="center" vertical="center" wrapText="1"/>
    </xf>
    <xf numFmtId="0" fontId="39" fillId="0" borderId="27" xfId="0" applyFont="1" applyBorder="1" applyAlignment="1">
      <alignment horizontal="center" vertical="center" wrapText="1"/>
    </xf>
    <xf numFmtId="0" fontId="39" fillId="0" borderId="28" xfId="0" applyFont="1" applyBorder="1" applyAlignment="1">
      <alignment horizontal="center" vertical="center" wrapText="1"/>
    </xf>
    <xf numFmtId="0" fontId="39" fillId="0" borderId="29" xfId="0" applyFont="1" applyBorder="1" applyAlignment="1">
      <alignment horizontal="center" vertical="center" wrapText="1"/>
    </xf>
    <xf numFmtId="0" fontId="38" fillId="11" borderId="19" xfId="0" applyFont="1" applyFill="1" applyBorder="1" applyAlignment="1">
      <alignment horizontal="justify" vertical="center" wrapText="1"/>
    </xf>
    <xf numFmtId="0" fontId="38" fillId="11" borderId="21" xfId="0" applyFont="1" applyFill="1" applyBorder="1" applyAlignment="1">
      <alignment horizontal="justify" vertical="center" wrapText="1"/>
    </xf>
    <xf numFmtId="0" fontId="38" fillId="11" borderId="19" xfId="0" applyFont="1" applyFill="1" applyBorder="1" applyAlignment="1">
      <alignment horizontal="center" vertical="center" wrapText="1"/>
    </xf>
    <xf numFmtId="0" fontId="38" fillId="11" borderId="21" xfId="0" applyFont="1" applyFill="1" applyBorder="1" applyAlignment="1">
      <alignment horizontal="center" vertical="center" wrapText="1"/>
    </xf>
    <xf numFmtId="0" fontId="38" fillId="11" borderId="22" xfId="0" applyFont="1" applyFill="1" applyBorder="1" applyAlignment="1">
      <alignment horizontal="justify" vertical="center" wrapText="1"/>
    </xf>
    <xf numFmtId="0" fontId="38" fillId="11" borderId="23" xfId="0" applyFont="1" applyFill="1" applyBorder="1" applyAlignment="1">
      <alignment horizontal="justify" vertical="center" wrapText="1"/>
    </xf>
    <xf numFmtId="0" fontId="38" fillId="11" borderId="24" xfId="0" applyFont="1" applyFill="1" applyBorder="1" applyAlignment="1">
      <alignment horizontal="justify" vertical="center" wrapText="1"/>
    </xf>
    <xf numFmtId="0" fontId="38" fillId="11" borderId="25" xfId="0" applyFont="1" applyFill="1" applyBorder="1" applyAlignment="1">
      <alignment horizontal="justify" vertical="center" wrapText="1"/>
    </xf>
    <xf numFmtId="0" fontId="38" fillId="11" borderId="0" xfId="0" applyFont="1" applyFill="1" applyBorder="1" applyAlignment="1">
      <alignment horizontal="justify" vertical="center" wrapText="1"/>
    </xf>
    <xf numFmtId="0" fontId="38" fillId="11" borderId="26" xfId="0" applyFont="1" applyFill="1" applyBorder="1" applyAlignment="1">
      <alignment horizontal="justify" vertical="center" wrapText="1"/>
    </xf>
    <xf numFmtId="0" fontId="0" fillId="11" borderId="27" xfId="0" applyFill="1" applyBorder="1" applyAlignment="1">
      <alignment horizontal="justify" vertical="top" wrapText="1"/>
    </xf>
    <xf numFmtId="0" fontId="0" fillId="11" borderId="28" xfId="0" applyFill="1" applyBorder="1" applyAlignment="1">
      <alignment horizontal="justify" vertical="top" wrapText="1"/>
    </xf>
    <xf numFmtId="0" fontId="0" fillId="11" borderId="29" xfId="0" applyFill="1" applyBorder="1" applyAlignment="1">
      <alignment horizontal="justify" vertical="top" wrapText="1"/>
    </xf>
  </cellXfs>
  <cellStyles count="5">
    <cellStyle name="Bad" xfId="4" builtinId="27"/>
    <cellStyle name="Comma" xfId="1" builtinId="3"/>
    <cellStyle name="Hyperlink" xfId="3" builtinId="8"/>
    <cellStyle name="Normal" xfId="0" builtinId="0"/>
    <cellStyle name="Percent" xfId="2" builtinId="5"/>
  </cellStyles>
  <dxfs count="7"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6" tint="-0.24994659260841701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8080"/>
      <color rgb="FFEFF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895350</xdr:colOff>
      <xdr:row>2</xdr:row>
      <xdr:rowOff>371475</xdr:rowOff>
    </xdr:from>
    <xdr:to>
      <xdr:col>30</xdr:col>
      <xdr:colOff>1057275</xdr:colOff>
      <xdr:row>6</xdr:row>
      <xdr:rowOff>180975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A7CF49D7-F736-4DEE-9F4D-C7FD6D4EA113}"/>
            </a:ext>
          </a:extLst>
        </xdr:cNvPr>
        <xdr:cNvCxnSpPr/>
      </xdr:nvCxnSpPr>
      <xdr:spPr>
        <a:xfrm>
          <a:off x="37366575" y="1504950"/>
          <a:ext cx="161925" cy="952500"/>
        </a:xfrm>
        <a:prstGeom prst="straightConnector1">
          <a:avLst/>
        </a:prstGeom>
        <a:ln>
          <a:prstDash val="lgDash"/>
          <a:headEnd w="lg" len="lg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entralbank.go.ke/inflation-rates/" TargetMode="External"/><Relationship Id="rId2" Type="http://schemas.openxmlformats.org/officeDocument/2006/relationships/hyperlink" Target="https://data.worldbank.org/indicator/SL.UEM.TOTL.ZS?locations=KE" TargetMode="External"/><Relationship Id="rId1" Type="http://schemas.openxmlformats.org/officeDocument/2006/relationships/hyperlink" Target="https://data.worldbank.org/indicator/NY.GDP.MKTP.KD.ZG?locations=KE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centralbank.go.ke/category/monetary-policy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tradingeconomics.com/kenya/inflation-cpi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https://www.centralbank.go.ke/inflation-rates/" TargetMode="External"/><Relationship Id="rId7" Type="http://schemas.openxmlformats.org/officeDocument/2006/relationships/hyperlink" Target="https://tradingeconomics.com/kenya/unemployment-rate" TargetMode="External"/><Relationship Id="rId12" Type="http://schemas.openxmlformats.org/officeDocument/2006/relationships/hyperlink" Target="https://www.centralbank.go.ke/category/monetary-policy/" TargetMode="External"/><Relationship Id="rId2" Type="http://schemas.openxmlformats.org/officeDocument/2006/relationships/hyperlink" Target="https://data.worldbank.org/indicator/SL.UEM.TOTL.ZS?locations=KE" TargetMode="External"/><Relationship Id="rId1" Type="http://schemas.openxmlformats.org/officeDocument/2006/relationships/hyperlink" Target="https://data.worldbank.org/indicator/NY.GDP.MKTP.KD.ZG?locations=KE" TargetMode="External"/><Relationship Id="rId6" Type="http://schemas.openxmlformats.org/officeDocument/2006/relationships/hyperlink" Target="https://tradingeconomics.com/kenya/unemployment-rate" TargetMode="External"/><Relationship Id="rId11" Type="http://schemas.openxmlformats.org/officeDocument/2006/relationships/hyperlink" Target="https://tradingeconomics.com/kenya/interest-rate" TargetMode="External"/><Relationship Id="rId5" Type="http://schemas.openxmlformats.org/officeDocument/2006/relationships/hyperlink" Target="https://www.centralbank.go.ke/annual-gdp/" TargetMode="External"/><Relationship Id="rId10" Type="http://schemas.openxmlformats.org/officeDocument/2006/relationships/hyperlink" Target="https://tradingeconomics.com/kenya/interest-rate" TargetMode="External"/><Relationship Id="rId4" Type="http://schemas.openxmlformats.org/officeDocument/2006/relationships/hyperlink" Target="https://www.treasury.go.ke/wp-content/uploads/2022/08/NOTICE-ON-PRICE-STABILITY-TARGET.pdf" TargetMode="External"/><Relationship Id="rId9" Type="http://schemas.openxmlformats.org/officeDocument/2006/relationships/hyperlink" Target="https://www.statista.com/statistics/451108/gross-domestic-product-gdp-growth-rate-in-keny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6487D-061D-40CE-A742-3355C5D575DE}">
  <dimension ref="B1:H29"/>
  <sheetViews>
    <sheetView workbookViewId="0">
      <selection activeCell="G34" sqref="G34"/>
    </sheetView>
  </sheetViews>
  <sheetFormatPr defaultRowHeight="13.5" x14ac:dyDescent="0.25"/>
  <cols>
    <col min="1" max="1" width="9.140625" style="1" customWidth="1"/>
    <col min="2" max="2" width="41" style="1" customWidth="1"/>
    <col min="3" max="3" width="17" style="1" customWidth="1"/>
    <col min="4" max="4" width="15" style="1" bestFit="1" customWidth="1"/>
    <col min="5" max="5" width="14.5703125" style="1" bestFit="1" customWidth="1"/>
    <col min="6" max="6" width="9.140625" style="1"/>
    <col min="7" max="7" width="15.28515625" style="1" customWidth="1"/>
    <col min="8" max="8" width="19.85546875" style="1" customWidth="1"/>
    <col min="9" max="16384" width="9.140625" style="1"/>
  </cols>
  <sheetData>
    <row r="1" spans="2:8" x14ac:dyDescent="0.25">
      <c r="B1" s="9" t="s">
        <v>49</v>
      </c>
      <c r="C1" s="154" t="s">
        <v>52</v>
      </c>
      <c r="D1" s="154"/>
      <c r="E1" s="154"/>
      <c r="F1" s="155"/>
    </row>
    <row r="2" spans="2:8" x14ac:dyDescent="0.25">
      <c r="B2" s="9" t="s">
        <v>50</v>
      </c>
      <c r="C2" s="154" t="s">
        <v>54</v>
      </c>
      <c r="D2" s="154"/>
      <c r="E2" s="154"/>
      <c r="F2" s="155"/>
    </row>
    <row r="3" spans="2:8" x14ac:dyDescent="0.25">
      <c r="B3" s="9" t="s">
        <v>51</v>
      </c>
      <c r="C3" s="154" t="s">
        <v>53</v>
      </c>
      <c r="D3" s="154"/>
      <c r="E3" s="154"/>
      <c r="F3" s="155"/>
    </row>
    <row r="4" spans="2:8" ht="14.25" thickBot="1" x14ac:dyDescent="0.3">
      <c r="B4" s="10" t="s">
        <v>23</v>
      </c>
      <c r="C4" s="156">
        <v>150000000</v>
      </c>
      <c r="D4" s="157"/>
      <c r="E4" s="157"/>
      <c r="F4" s="158"/>
    </row>
    <row r="5" spans="2:8" s="2" customFormat="1" ht="14.25" thickBot="1" x14ac:dyDescent="0.3">
      <c r="B5" s="13"/>
      <c r="C5" s="14"/>
      <c r="D5" s="14"/>
      <c r="E5" s="14"/>
      <c r="F5" s="14"/>
    </row>
    <row r="6" spans="2:8" s="2" customFormat="1" x14ac:dyDescent="0.25">
      <c r="B6" s="3" t="s">
        <v>113</v>
      </c>
      <c r="C6" s="104" t="s">
        <v>114</v>
      </c>
      <c r="G6" s="148" t="s">
        <v>104</v>
      </c>
      <c r="H6" s="149" t="s">
        <v>147</v>
      </c>
    </row>
    <row r="7" spans="2:8" ht="14.25" thickBot="1" x14ac:dyDescent="0.3">
      <c r="B7" s="159" t="s">
        <v>21</v>
      </c>
      <c r="C7" s="159"/>
      <c r="D7" s="159"/>
      <c r="G7" s="24" t="s">
        <v>136</v>
      </c>
      <c r="H7" s="150">
        <v>100000</v>
      </c>
    </row>
    <row r="8" spans="2:8" x14ac:dyDescent="0.25">
      <c r="B8" s="5" t="s">
        <v>1</v>
      </c>
      <c r="C8" s="5" t="s">
        <v>2</v>
      </c>
      <c r="D8" s="5" t="s">
        <v>7</v>
      </c>
    </row>
    <row r="9" spans="2:8" x14ac:dyDescent="0.25">
      <c r="B9" s="4" t="s">
        <v>9</v>
      </c>
      <c r="C9" s="53">
        <v>250000000</v>
      </c>
      <c r="D9" s="53">
        <f>C9</f>
        <v>250000000</v>
      </c>
    </row>
    <row r="10" spans="2:8" x14ac:dyDescent="0.25">
      <c r="B10" s="4"/>
      <c r="C10" s="6"/>
      <c r="D10" s="54">
        <f t="shared" ref="D10:D14" si="0">C10</f>
        <v>0</v>
      </c>
    </row>
    <row r="11" spans="2:8" x14ac:dyDescent="0.25">
      <c r="B11" s="4"/>
      <c r="C11" s="6"/>
      <c r="D11" s="54">
        <f t="shared" si="0"/>
        <v>0</v>
      </c>
    </row>
    <row r="12" spans="2:8" x14ac:dyDescent="0.25">
      <c r="B12" s="4"/>
      <c r="C12" s="6"/>
      <c r="D12" s="54">
        <f t="shared" si="0"/>
        <v>0</v>
      </c>
    </row>
    <row r="13" spans="2:8" x14ac:dyDescent="0.25">
      <c r="B13" s="4"/>
      <c r="C13" s="6"/>
      <c r="D13" s="54">
        <f t="shared" si="0"/>
        <v>0</v>
      </c>
    </row>
    <row r="14" spans="2:8" x14ac:dyDescent="0.25">
      <c r="B14" s="4"/>
      <c r="C14" s="6"/>
      <c r="D14" s="54">
        <f t="shared" si="0"/>
        <v>0</v>
      </c>
    </row>
    <row r="15" spans="2:8" x14ac:dyDescent="0.25">
      <c r="B15" s="4" t="s">
        <v>3</v>
      </c>
      <c r="C15" s="7"/>
      <c r="D15" s="6">
        <f>SUM(D9:D14)</f>
        <v>250000000</v>
      </c>
    </row>
    <row r="16" spans="2:8" x14ac:dyDescent="0.25">
      <c r="B16" s="4" t="s">
        <v>0</v>
      </c>
      <c r="C16" s="53">
        <v>-100000000</v>
      </c>
      <c r="D16" s="44">
        <f>C16</f>
        <v>-100000000</v>
      </c>
    </row>
    <row r="17" spans="2:4" x14ac:dyDescent="0.25">
      <c r="B17" s="4" t="s">
        <v>4</v>
      </c>
      <c r="C17" s="7"/>
      <c r="D17" s="8">
        <f>SUM(D15:D16)</f>
        <v>150000000</v>
      </c>
    </row>
    <row r="18" spans="2:4" x14ac:dyDescent="0.25">
      <c r="B18" s="4" t="s">
        <v>47</v>
      </c>
      <c r="C18" s="137">
        <v>0.28000000000000003</v>
      </c>
      <c r="D18" s="8"/>
    </row>
    <row r="19" spans="2:4" x14ac:dyDescent="0.25">
      <c r="B19" s="4" t="s">
        <v>55</v>
      </c>
      <c r="C19" s="11">
        <v>0</v>
      </c>
      <c r="D19" s="8"/>
    </row>
    <row r="20" spans="2:4" x14ac:dyDescent="0.25">
      <c r="B20" s="4" t="s">
        <v>8</v>
      </c>
      <c r="C20" s="11">
        <v>48</v>
      </c>
      <c r="D20" s="7"/>
    </row>
    <row r="23" spans="2:4" x14ac:dyDescent="0.25">
      <c r="B23" s="159" t="s">
        <v>22</v>
      </c>
      <c r="C23" s="159"/>
    </row>
    <row r="24" spans="2:4" x14ac:dyDescent="0.25">
      <c r="B24" s="4" t="s">
        <v>10</v>
      </c>
      <c r="C24" s="11" t="s">
        <v>11</v>
      </c>
    </row>
    <row r="25" spans="2:4" x14ac:dyDescent="0.25">
      <c r="B25" s="4" t="s">
        <v>16</v>
      </c>
      <c r="C25" s="45" t="s">
        <v>17</v>
      </c>
    </row>
    <row r="26" spans="2:4" x14ac:dyDescent="0.25">
      <c r="B26" s="4" t="s">
        <v>12</v>
      </c>
      <c r="C26" s="4" t="s">
        <v>13</v>
      </c>
    </row>
    <row r="27" spans="2:4" x14ac:dyDescent="0.25">
      <c r="B27" s="4" t="s">
        <v>14</v>
      </c>
      <c r="C27" s="12" t="s">
        <v>15</v>
      </c>
    </row>
    <row r="28" spans="2:4" x14ac:dyDescent="0.25">
      <c r="B28" s="4" t="s">
        <v>18</v>
      </c>
      <c r="C28" s="51" t="s">
        <v>19</v>
      </c>
    </row>
    <row r="29" spans="2:4" x14ac:dyDescent="0.25">
      <c r="B29" s="4" t="s">
        <v>56</v>
      </c>
      <c r="C29" s="52" t="s">
        <v>57</v>
      </c>
    </row>
  </sheetData>
  <mergeCells count="6">
    <mergeCell ref="C1:F1"/>
    <mergeCell ref="C4:F4"/>
    <mergeCell ref="B7:D7"/>
    <mergeCell ref="B23:C23"/>
    <mergeCell ref="C2:F2"/>
    <mergeCell ref="C3:F3"/>
  </mergeCells>
  <dataValidations count="2">
    <dataValidation type="list" allowBlank="1" showInputMessage="1" showErrorMessage="1" sqref="C6" xr:uid="{6913E9E9-1F92-469B-9F5F-314578A6D05D}">
      <formula1>"Bridge 1, Bridge 2, Flexi, Super, Platinum, Working Capital"</formula1>
    </dataValidation>
    <dataValidation type="list" allowBlank="1" showInputMessage="1" showErrorMessage="1" sqref="H6" xr:uid="{C4C0D852-9BFD-4B5E-9626-2451BE3E4C10}">
      <formula1>"Land, M/Vehicle, Debentures, Chattels, Bank Guarantees, NSE Quoted Shares"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650B7-31D5-4139-97AA-82B6FB91B3EE}">
  <dimension ref="A1:AI14"/>
  <sheetViews>
    <sheetView topLeftCell="AD1" workbookViewId="0">
      <selection activeCell="AC3" sqref="AC3"/>
    </sheetView>
  </sheetViews>
  <sheetFormatPr defaultRowHeight="15" x14ac:dyDescent="0.25"/>
  <cols>
    <col min="1" max="1" width="2.5703125" style="66" customWidth="1"/>
    <col min="2" max="2" width="20.28515625" style="56" bestFit="1" customWidth="1"/>
    <col min="3" max="3" width="15.42578125" style="56" hidden="1" customWidth="1"/>
    <col min="4" max="4" width="19" style="56" customWidth="1"/>
    <col min="5" max="5" width="13.7109375" style="57" customWidth="1"/>
    <col min="6" max="6" width="19" style="56" bestFit="1" customWidth="1"/>
    <col min="7" max="8" width="13.7109375" style="57" customWidth="1"/>
    <col min="9" max="9" width="19" style="56" bestFit="1" customWidth="1"/>
    <col min="10" max="10" width="11" style="57" customWidth="1"/>
    <col min="11" max="11" width="19" style="58" bestFit="1" customWidth="1"/>
    <col min="12" max="12" width="19" style="59" customWidth="1"/>
    <col min="13" max="13" width="19" style="56" customWidth="1"/>
    <col min="14" max="14" width="15.85546875" style="60" bestFit="1" customWidth="1"/>
    <col min="15" max="15" width="19" style="56" bestFit="1" customWidth="1"/>
    <col min="16" max="16" width="17.140625" style="61" customWidth="1"/>
    <col min="17" max="17" width="19" style="56" bestFit="1" customWidth="1"/>
    <col min="18" max="18" width="20.5703125" style="56" bestFit="1" customWidth="1"/>
    <col min="19" max="19" width="10.28515625" style="56" hidden="1" customWidth="1"/>
    <col min="20" max="20" width="19" style="56" customWidth="1"/>
    <col min="21" max="21" width="19.42578125" style="57" customWidth="1"/>
    <col min="22" max="22" width="19" style="56" bestFit="1" customWidth="1"/>
    <col min="23" max="23" width="17.140625" style="57" customWidth="1"/>
    <col min="24" max="24" width="17.140625" style="56" customWidth="1"/>
    <col min="25" max="25" width="15.140625" style="62" customWidth="1"/>
    <col min="26" max="27" width="24.28515625" style="56" customWidth="1"/>
    <col min="28" max="28" width="27.85546875" style="56" customWidth="1"/>
    <col min="29" max="29" width="28.140625" style="56" customWidth="1"/>
    <col min="30" max="32" width="28.140625" style="63" customWidth="1"/>
    <col min="33" max="33" width="16.42578125" style="56" customWidth="1"/>
    <col min="34" max="34" width="20.28515625" style="63" customWidth="1"/>
    <col min="35" max="35" width="45.85546875" style="56" customWidth="1"/>
    <col min="36" max="16384" width="9.140625" style="56"/>
  </cols>
  <sheetData>
    <row r="1" spans="1:35" ht="15.75" thickBot="1" x14ac:dyDescent="0.3"/>
    <row r="2" spans="1:35" s="55" customFormat="1" ht="90" thickBot="1" x14ac:dyDescent="0.3">
      <c r="A2" s="65"/>
      <c r="B2" s="78" t="s">
        <v>65</v>
      </c>
      <c r="C2" s="79"/>
      <c r="D2" s="80" t="s">
        <v>66</v>
      </c>
      <c r="E2" s="81" t="s">
        <v>67</v>
      </c>
      <c r="F2" s="80" t="s">
        <v>68</v>
      </c>
      <c r="G2" s="81" t="s">
        <v>69</v>
      </c>
      <c r="H2" s="81" t="s">
        <v>45</v>
      </c>
      <c r="I2" s="80" t="s">
        <v>70</v>
      </c>
      <c r="J2" s="81" t="s">
        <v>71</v>
      </c>
      <c r="K2" s="82" t="s">
        <v>72</v>
      </c>
      <c r="L2" s="83" t="s">
        <v>73</v>
      </c>
      <c r="M2" s="80" t="s">
        <v>74</v>
      </c>
      <c r="N2" s="84" t="s">
        <v>75</v>
      </c>
      <c r="O2" s="80" t="s">
        <v>76</v>
      </c>
      <c r="P2" s="84" t="s">
        <v>77</v>
      </c>
      <c r="Q2" s="80" t="s">
        <v>78</v>
      </c>
      <c r="R2" s="79" t="s">
        <v>79</v>
      </c>
      <c r="S2" s="79"/>
      <c r="T2" s="80" t="s">
        <v>80</v>
      </c>
      <c r="U2" s="81" t="s">
        <v>81</v>
      </c>
      <c r="V2" s="80" t="s">
        <v>82</v>
      </c>
      <c r="W2" s="81" t="s">
        <v>83</v>
      </c>
      <c r="X2" s="80" t="s">
        <v>84</v>
      </c>
      <c r="Y2" s="85" t="s">
        <v>98</v>
      </c>
      <c r="Z2" s="80" t="s">
        <v>101</v>
      </c>
      <c r="AA2" s="85" t="s">
        <v>85</v>
      </c>
      <c r="AB2" s="80" t="s">
        <v>86</v>
      </c>
      <c r="AC2" s="79" t="s">
        <v>96</v>
      </c>
      <c r="AD2" s="80" t="s">
        <v>97</v>
      </c>
      <c r="AE2" s="80" t="s">
        <v>99</v>
      </c>
      <c r="AF2" s="80" t="s">
        <v>100</v>
      </c>
      <c r="AG2" s="86" t="s">
        <v>87</v>
      </c>
      <c r="AH2" s="96" t="s">
        <v>88</v>
      </c>
      <c r="AI2" s="98" t="s">
        <v>103</v>
      </c>
    </row>
    <row r="3" spans="1:35" s="68" customFormat="1" ht="30.75" thickBot="1" x14ac:dyDescent="0.3">
      <c r="A3" s="67"/>
      <c r="B3" s="136" t="s">
        <v>89</v>
      </c>
      <c r="C3" s="87" t="s">
        <v>90</v>
      </c>
      <c r="D3" s="87">
        <f>IF(B3="Unregistered", 0, IF(B3="Full Registration", 4, IF(B3="Provisional Registration", 3, IF(B3="Ongoing Registration", 1, 0))))</f>
        <v>0</v>
      </c>
      <c r="E3" s="88">
        <v>500</v>
      </c>
      <c r="F3" s="87">
        <f>IF(E3 &lt;= 200, 1, IF(E3 &gt; 200, 2, 0))</f>
        <v>2</v>
      </c>
      <c r="G3" s="88">
        <v>50</v>
      </c>
      <c r="H3" s="89">
        <f>E3/G3</f>
        <v>10</v>
      </c>
      <c r="I3" s="87">
        <f>IF(H3&gt;25,1,2)</f>
        <v>2</v>
      </c>
      <c r="J3" s="88">
        <v>1</v>
      </c>
      <c r="K3" s="90">
        <f>IF(J3&lt;3,1,IF(J3&gt;=3,2,0))</f>
        <v>1</v>
      </c>
      <c r="L3" s="91">
        <v>2000</v>
      </c>
      <c r="M3" s="87">
        <f>IF(L3&lt;3000,1,2)</f>
        <v>1</v>
      </c>
      <c r="N3" s="92">
        <v>0.5</v>
      </c>
      <c r="O3" s="87">
        <f>IF(N3&lt;75%,1,2)</f>
        <v>1</v>
      </c>
      <c r="P3" s="100">
        <v>1</v>
      </c>
      <c r="Q3" s="87">
        <f>IF(P3&gt;60%,1,2)</f>
        <v>1</v>
      </c>
      <c r="R3" s="101" t="s">
        <v>91</v>
      </c>
      <c r="S3" s="87" t="s">
        <v>92</v>
      </c>
      <c r="T3" s="87">
        <f>IF(R3="Owned",2,IF(R3="Third Party",1,0))</f>
        <v>1</v>
      </c>
      <c r="U3" s="102" t="s">
        <v>93</v>
      </c>
      <c r="V3" s="87">
        <f>IF(U3="Secured",3,IF(U3="Unsecured",1, IF(U3="Partially Secured", 2, 0)))</f>
        <v>1</v>
      </c>
      <c r="W3" s="102" t="s">
        <v>95</v>
      </c>
      <c r="X3" s="87">
        <f t="shared" ref="X3" si="0">IF(W3="Rented",1,2)</f>
        <v>2</v>
      </c>
      <c r="Y3" s="101" t="s">
        <v>102</v>
      </c>
      <c r="Z3" s="93">
        <f>IF(Y3="AA-CC", 6, IF(Y3="DD", 3, IF(Y3="Below DD", 1, 0)))</f>
        <v>1</v>
      </c>
      <c r="AA3" s="103">
        <v>13</v>
      </c>
      <c r="AB3" s="87">
        <f>IF(AA3&gt;=90,0,IF(AA3&gt;=30,1,IF(AA3&gt;=15,2,IF(AA3&gt;=1,3,4))))</f>
        <v>3</v>
      </c>
      <c r="AC3" s="101" t="s">
        <v>94</v>
      </c>
      <c r="AD3" s="87">
        <f>IF(AC3 = "Yes", 2, 0)</f>
        <v>2</v>
      </c>
      <c r="AE3" s="94">
        <v>-6.47</v>
      </c>
      <c r="AF3" s="87">
        <f>IF(AE3&gt; -6.2,2, IF(AE3&lt;=-6.2,1,0))</f>
        <v>1</v>
      </c>
      <c r="AG3" s="95">
        <f>(AF3+AD3+AB3+Z3+X3+V3+T3+Q3+O3+M3+K3+I3+F3+D3)/37</f>
        <v>0.51351351351351349</v>
      </c>
      <c r="AH3" s="97" t="str">
        <f>IF(AG3&gt;=85%,"Low",IF(AG3&gt;=55%,"Medium","High"))</f>
        <v>High</v>
      </c>
      <c r="AI3" s="99">
        <f>IF(AH3="Low", 28%, IF(AH3="Medium", 28.5%, IF(AH3="High", 32%,0)))</f>
        <v>0.32</v>
      </c>
    </row>
    <row r="4" spans="1:35" x14ac:dyDescent="0.25">
      <c r="AA4" s="64"/>
    </row>
    <row r="5" spans="1:35" x14ac:dyDescent="0.25">
      <c r="AA5" s="64"/>
    </row>
    <row r="6" spans="1:35" x14ac:dyDescent="0.25">
      <c r="AA6" s="64"/>
    </row>
    <row r="7" spans="1:35" ht="15.75" thickBot="1" x14ac:dyDescent="0.3">
      <c r="AA7" s="64"/>
    </row>
    <row r="8" spans="1:35" x14ac:dyDescent="0.25">
      <c r="AA8" s="64"/>
      <c r="AD8" s="151" t="s">
        <v>48</v>
      </c>
      <c r="AE8" s="152"/>
      <c r="AF8" s="152"/>
      <c r="AG8" s="152"/>
      <c r="AH8" s="153"/>
    </row>
    <row r="9" spans="1:35" x14ac:dyDescent="0.25">
      <c r="AA9" s="64"/>
      <c r="AD9" s="69" t="s">
        <v>42</v>
      </c>
      <c r="AE9" s="70" t="s">
        <v>29</v>
      </c>
      <c r="AF9" s="70" t="s">
        <v>28</v>
      </c>
      <c r="AG9" s="70" t="s">
        <v>30</v>
      </c>
      <c r="AH9" s="71" t="s">
        <v>27</v>
      </c>
    </row>
    <row r="10" spans="1:35" x14ac:dyDescent="0.25">
      <c r="AA10" s="64"/>
      <c r="AD10" s="72" t="s">
        <v>26</v>
      </c>
      <c r="AE10" s="74">
        <v>4.8000000000000001E-2</v>
      </c>
      <c r="AF10" s="75">
        <v>0.1</v>
      </c>
      <c r="AG10" s="76">
        <f>AE10*AF10</f>
        <v>4.8000000000000004E-3</v>
      </c>
      <c r="AH10" s="23" t="s">
        <v>59</v>
      </c>
    </row>
    <row r="11" spans="1:35" x14ac:dyDescent="0.25">
      <c r="AA11" s="64"/>
      <c r="AD11" s="72" t="s">
        <v>38</v>
      </c>
      <c r="AE11" s="74">
        <v>0.1588</v>
      </c>
      <c r="AF11" s="75">
        <v>0.2</v>
      </c>
      <c r="AG11" s="76">
        <f>-(AE11*AF11)</f>
        <v>-3.1760000000000004E-2</v>
      </c>
      <c r="AH11" s="23" t="s">
        <v>61</v>
      </c>
    </row>
    <row r="12" spans="1:35" x14ac:dyDescent="0.25">
      <c r="AD12" s="72" t="s">
        <v>25</v>
      </c>
      <c r="AE12" s="74">
        <v>5.0999999999999997E-2</v>
      </c>
      <c r="AF12" s="75">
        <v>0.3</v>
      </c>
      <c r="AG12" s="76">
        <f>-(AE12*AF12)</f>
        <v>-1.5299999999999998E-2</v>
      </c>
      <c r="AH12" s="23" t="s">
        <v>58</v>
      </c>
    </row>
    <row r="13" spans="1:35" x14ac:dyDescent="0.25">
      <c r="AD13" s="72" t="s">
        <v>24</v>
      </c>
      <c r="AE13" s="74">
        <v>5.6000000000000001E-2</v>
      </c>
      <c r="AF13" s="75">
        <v>0.4</v>
      </c>
      <c r="AG13" s="76">
        <f t="shared" ref="AG13" si="1">-(AE13*AF13)</f>
        <v>-2.2400000000000003E-2</v>
      </c>
      <c r="AH13" s="23" t="s">
        <v>60</v>
      </c>
    </row>
    <row r="14" spans="1:35" ht="15.75" thickBot="1" x14ac:dyDescent="0.3">
      <c r="AD14" s="73"/>
      <c r="AE14" s="25"/>
      <c r="AF14" s="25"/>
      <c r="AG14" s="77">
        <f>SUM(AG10:AG13)</f>
        <v>-6.4660000000000009E-2</v>
      </c>
      <c r="AH14" s="27"/>
    </row>
  </sheetData>
  <mergeCells count="1">
    <mergeCell ref="AD8:AH8"/>
  </mergeCells>
  <conditionalFormatting sqref="AH3">
    <cfRule type="containsText" dxfId="6" priority="1" operator="containsText" text="High">
      <formula>NOT(ISERROR(SEARCH("High",AH3)))</formula>
    </cfRule>
    <cfRule type="containsText" dxfId="5" priority="2" operator="containsText" text="Medium">
      <formula>NOT(ISERROR(SEARCH("Medium",AH3)))</formula>
    </cfRule>
    <cfRule type="containsText" dxfId="4" priority="3" operator="containsText" text="Low">
      <formula>NOT(ISERROR(SEARCH("Low",AH3)))</formula>
    </cfRule>
    <cfRule type="containsText" dxfId="3" priority="4" operator="containsText" text="Low">
      <formula>NOT(ISERROR(SEARCH("Low",AH3)))</formula>
    </cfRule>
  </conditionalFormatting>
  <conditionalFormatting sqref="AH3">
    <cfRule type="cellIs" dxfId="2" priority="5" operator="greaterThan">
      <formula>0.85</formula>
    </cfRule>
  </conditionalFormatting>
  <dataValidations count="6">
    <dataValidation type="list" allowBlank="1" showInputMessage="1" showErrorMessage="1" sqref="B3:C3" xr:uid="{E6AA50A9-1980-4913-98AF-55626B2ABC70}">
      <formula1>"Full Registration, Provisional Registration, Ongoing Registration, Unregistered"</formula1>
    </dataValidation>
    <dataValidation type="list" allowBlank="1" showInputMessage="1" showErrorMessage="1" sqref="R3" xr:uid="{8BB36AA0-9265-4A72-832F-A0DEB94C0CAE}">
      <formula1>"Owned,Third Party"</formula1>
    </dataValidation>
    <dataValidation type="list" allowBlank="1" showInputMessage="1" showErrorMessage="1" sqref="AC3" xr:uid="{A36759A6-8D30-4E89-8131-0ADBF4EB5EE2}">
      <formula1>"Yes, No"</formula1>
    </dataValidation>
    <dataValidation type="list" allowBlank="1" showInputMessage="1" showErrorMessage="1" sqref="Y3" xr:uid="{C1C22C09-6F9B-4074-8F13-64CDBD28B5F7}">
      <formula1>"AA-CC, DD, Below DD"</formula1>
    </dataValidation>
    <dataValidation type="list" allowBlank="1" showInputMessage="1" showErrorMessage="1" sqref="W3" xr:uid="{842027C4-651D-415D-8B35-83EA7FA57C5F}">
      <formula1>"Rented, Owned"</formula1>
    </dataValidation>
    <dataValidation type="list" allowBlank="1" showInputMessage="1" showErrorMessage="1" sqref="U3" xr:uid="{7E02731A-F5B1-474F-96CE-836D0F4D9E5E}">
      <formula1>"Secured, Unsecured, Partially Secured"</formula1>
    </dataValidation>
  </dataValidations>
  <hyperlinks>
    <hyperlink ref="AH10" r:id="rId1" xr:uid="{E9CDAF8B-100A-4FFC-98E6-8970C6607325}"/>
    <hyperlink ref="AH13" r:id="rId2" xr:uid="{BA62485C-D899-439A-A17B-B8A387F56CAC}"/>
    <hyperlink ref="AH12" r:id="rId3" xr:uid="{75084757-1C35-4897-BE92-A8F5C0212583}"/>
    <hyperlink ref="AH11" r:id="rId4" xr:uid="{0E85F114-6FFC-40CA-BEF2-EE5599D09022}"/>
  </hyperlinks>
  <pageMargins left="0.7" right="0.7" top="0.75" bottom="0.75" header="0.3" footer="0.3"/>
  <pageSetup orientation="portrait" r:id="rId5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7445D-FD87-4A8E-8819-8957DEEAC15D}">
  <dimension ref="A1:Q41"/>
  <sheetViews>
    <sheetView topLeftCell="D1" workbookViewId="0">
      <selection activeCell="M9" sqref="M9"/>
    </sheetView>
  </sheetViews>
  <sheetFormatPr defaultRowHeight="15" x14ac:dyDescent="0.25"/>
  <cols>
    <col min="1" max="1" width="32.140625" customWidth="1"/>
    <col min="2" max="2" width="15.28515625" bestFit="1" customWidth="1"/>
    <col min="3" max="3" width="10" customWidth="1"/>
    <col min="4" max="4" width="1.85546875" customWidth="1"/>
    <col min="5" max="5" width="30.5703125" customWidth="1"/>
    <col min="6" max="6" width="14.42578125" customWidth="1"/>
    <col min="7" max="7" width="15.5703125" customWidth="1"/>
    <col min="8" max="8" width="15.140625" customWidth="1"/>
    <col min="9" max="9" width="15.28515625" customWidth="1"/>
    <col min="10" max="10" width="15.140625" customWidth="1"/>
    <col min="11" max="11" width="13.7109375" customWidth="1"/>
    <col min="13" max="13" width="13.42578125" customWidth="1"/>
    <col min="16" max="16" width="12.5703125" customWidth="1"/>
  </cols>
  <sheetData>
    <row r="1" spans="1:17" x14ac:dyDescent="0.25">
      <c r="A1" s="160" t="s">
        <v>108</v>
      </c>
      <c r="B1" s="161"/>
      <c r="C1" s="162"/>
      <c r="D1" s="105"/>
      <c r="E1" s="160" t="s">
        <v>135</v>
      </c>
      <c r="F1" s="161"/>
      <c r="G1" s="161"/>
      <c r="H1" s="161"/>
      <c r="I1" s="161"/>
      <c r="J1" s="161"/>
      <c r="K1" s="162"/>
    </row>
    <row r="2" spans="1:17" ht="15.75" customHeight="1" x14ac:dyDescent="0.25">
      <c r="A2" s="28" t="s">
        <v>105</v>
      </c>
      <c r="B2" s="106" t="e">
        <f>#REF!</f>
        <v>#REF!</v>
      </c>
      <c r="C2" s="30"/>
      <c r="D2" s="105"/>
      <c r="E2" s="28"/>
      <c r="F2" s="125" t="s">
        <v>137</v>
      </c>
      <c r="G2" s="125" t="s">
        <v>138</v>
      </c>
      <c r="H2" s="125" t="s">
        <v>152</v>
      </c>
      <c r="I2" s="125" t="s">
        <v>148</v>
      </c>
      <c r="J2" s="125" t="s">
        <v>146</v>
      </c>
      <c r="K2" s="126" t="s">
        <v>149</v>
      </c>
    </row>
    <row r="3" spans="1:17" x14ac:dyDescent="0.25">
      <c r="A3" s="28" t="s">
        <v>106</v>
      </c>
      <c r="B3" s="106">
        <v>0.75</v>
      </c>
      <c r="C3" s="30"/>
      <c r="D3" s="105"/>
      <c r="E3" s="28" t="s">
        <v>140</v>
      </c>
      <c r="F3" s="127">
        <v>1</v>
      </c>
      <c r="G3" s="128"/>
      <c r="H3" s="128"/>
      <c r="I3" s="128"/>
      <c r="J3" s="128"/>
      <c r="K3" s="129"/>
    </row>
    <row r="4" spans="1:17" ht="31.5" customHeight="1" x14ac:dyDescent="0.25">
      <c r="A4" s="28" t="s">
        <v>107</v>
      </c>
      <c r="B4" s="107" t="e">
        <f>B2-B3</f>
        <v>#REF!</v>
      </c>
      <c r="C4" s="30"/>
      <c r="D4" s="105"/>
      <c r="E4" s="28" t="s">
        <v>139</v>
      </c>
      <c r="F4" s="116" t="s">
        <v>153</v>
      </c>
      <c r="G4" s="128"/>
      <c r="H4" s="128"/>
      <c r="I4" s="128"/>
      <c r="J4" s="128"/>
      <c r="K4" s="129"/>
    </row>
    <row r="5" spans="1:17" x14ac:dyDescent="0.25">
      <c r="A5" s="28"/>
      <c r="B5" s="29"/>
      <c r="C5" s="30"/>
      <c r="D5" s="105"/>
      <c r="E5" s="28" t="s">
        <v>142</v>
      </c>
      <c r="F5" s="128"/>
      <c r="G5" s="130" t="s">
        <v>145</v>
      </c>
      <c r="H5" s="128"/>
      <c r="I5" s="128"/>
      <c r="J5" s="128"/>
      <c r="K5" s="129"/>
    </row>
    <row r="6" spans="1:17" x14ac:dyDescent="0.25">
      <c r="A6" s="28" t="s">
        <v>109</v>
      </c>
      <c r="B6" s="43" t="e">
        <f>#REF!</f>
        <v>#REF!</v>
      </c>
      <c r="C6" s="30"/>
      <c r="D6" s="105"/>
      <c r="E6" s="28" t="s">
        <v>143</v>
      </c>
      <c r="F6" s="128"/>
      <c r="G6" s="116" t="s">
        <v>144</v>
      </c>
      <c r="H6" s="128"/>
      <c r="I6" s="128"/>
      <c r="J6" s="128"/>
      <c r="K6" s="129"/>
    </row>
    <row r="7" spans="1:17" x14ac:dyDescent="0.25">
      <c r="A7" s="28" t="s">
        <v>110</v>
      </c>
      <c r="B7" s="106">
        <v>0.25</v>
      </c>
      <c r="C7" s="30"/>
      <c r="D7" s="105"/>
      <c r="E7" s="28" t="s">
        <v>150</v>
      </c>
      <c r="F7" s="131"/>
      <c r="G7" s="132">
        <f>IF(AND(G5="0 - 3.", G6="School Vehicle"), 4000000,
IF(AND(G5="4 - 9.", G6="School Vehicle"), 3000000,
IF(AND(G5="10 - 15.", G6="School Vehicle"), 1000000,
IF(AND(G5="0 - 3.", G6="Private Vehicle"), 5000000,
IF(AND(G5="4 - 9.", G6="Private Vehicle"), 3500000,
IF(AND(G5="10 - 15.", G6="Private Vehicle"), 1500000, 0))))))</f>
        <v>1500000</v>
      </c>
      <c r="H7" s="132">
        <v>2000000</v>
      </c>
      <c r="I7" s="132">
        <v>2000000</v>
      </c>
      <c r="J7" s="132">
        <v>2000000</v>
      </c>
      <c r="K7" s="133">
        <v>2000000</v>
      </c>
    </row>
    <row r="8" spans="1:17" ht="18" thickBot="1" x14ac:dyDescent="0.45">
      <c r="A8" s="122" t="s">
        <v>111</v>
      </c>
      <c r="B8" s="108" t="e">
        <f>B6*B7</f>
        <v>#REF!</v>
      </c>
      <c r="C8" s="30"/>
      <c r="D8" s="105"/>
      <c r="E8" s="33" t="s">
        <v>151</v>
      </c>
      <c r="F8" s="134">
        <f>IF(AND(F3=1,F4="School Property"),'Cover Page'!$H$7*0.6,
IF(AND(F3=1,F4="Residential"),'Cover Page'!$H$7*0.8,
IF(AND(F3=1,F4="Commercial"),'Cover Page'!$H$7*0.7,
IF(AND(F3=2,F4="School Property"),'Cover Page'!$H$7*0.5,
IF(AND(F3=2,F4="Residential"),'Cover Page'!$H$7*0.8,
IF(AND(F3=2,F4="Commercial"),'Cover Page'!$H$7*0.7,
IF(AND(F3=3,F4="School Property"),'Cover Page'!$H$7*0.45,
IF(AND(F3=3,F4="Residential"),'Cover Page'!$H$7*0.75,
IF(AND(F3=3,F4="Commercial"),'Cover Page'!$H$7*0.55,
IF(AND(F3=4,F4="School Property"),'Cover Page'!$H$7*0.45,
IF(AND(F3=4,F4="Residential"),'Cover Page'!$H$7*0.65,
IF(AND(F3=4,F4="Commercial"),'Cover Page'!$H$7*0.5,
IF(AND(F3=5,F4="School Property"),'Cover Page'!$H$7*0.4,
IF(AND(F3=5,F4="Residential"),'Cover Page'!$H$7*0.6,
IF(AND(F3=5,F4="Commercial"),'Cover Page'!$H$7*0.5,
IF(AND(F3=6,F4="School Property"),'Cover Page'!$H$7*0.3,
IF(AND(F3=6,F4="Residential"),'Cover Page'!$H$7*0.45,
IF(AND(F3=6,F4="Commercial"),'Cover Page'!$H$7*0.35,
IF(AND(F3=7,F4="School Property"),'Cover Page'!$H$7*0.5,
IF(AND(F3=7,F4="Residential"),'Cover Page'!$H$7*0.55,
IF(AND(F3=7,F4="Commercial"),'Cover Page'!$H$7*0.6,0)))))))))))))))))))))</f>
        <v>70000</v>
      </c>
      <c r="G8" s="134">
        <f>IF(AND(G5="0 - 3.", G6="School Vehicle"), 'Cover Page'!$H$7 * 0.6,
IF(AND(G5="4 - 9.", G6="School Vehicle"), 'Cover Page'!$H$7 * 0.5,
IF(AND(G5="10 - 15.", G6="School Vehicle"), 'Cover Page'!$H$7 * 0.4,
IF(AND(G5="0 - 3.", G6="Private Vehicle"), 'Cover Page'!$H$7 * 0.7,
IF(AND(G5="4 - 9.", G6="Private Vehicle"), 'Cover Page'!$H$7 * 0.6,
IF(AND(G5="10 - 15.", G6="Private Vehicle"), 'Cover Page'!$H$7 * 0.5, 0))))))</f>
        <v>50000</v>
      </c>
      <c r="H8" s="134">
        <f>IF('Cover Page'!$H$7&lt;=H7,'Cover Page'!$H$7*0.4,Affordability!H7)</f>
        <v>40000</v>
      </c>
      <c r="I8" s="134">
        <f>IF('Cover Page'!$H$7&lt;=I7,'Cover Page'!$H$7,Affordability!I7)</f>
        <v>100000</v>
      </c>
      <c r="J8" s="134">
        <f>IF('Cover Page'!$H$7&lt;=J7,'Cover Page'!$H$7*0.5,Affordability!J7)</f>
        <v>50000</v>
      </c>
      <c r="K8" s="135">
        <f>IF('Cover Page'!$H$7&lt;=K7,'Cover Page'!$H$7*0.5,Affordability!K7)</f>
        <v>50000</v>
      </c>
    </row>
    <row r="9" spans="1:17" ht="18" customHeight="1" thickBot="1" x14ac:dyDescent="0.45">
      <c r="A9" s="121" t="s">
        <v>112</v>
      </c>
      <c r="B9" s="109" t="e">
        <f>B8/12</f>
        <v>#REF!</v>
      </c>
      <c r="C9" s="35"/>
      <c r="D9" s="105"/>
      <c r="F9" s="124"/>
      <c r="G9" s="124"/>
      <c r="H9" s="124"/>
      <c r="I9" s="124"/>
      <c r="J9" s="124"/>
      <c r="K9" s="124"/>
    </row>
    <row r="10" spans="1:17" ht="57" thickBot="1" x14ac:dyDescent="0.3">
      <c r="D10" s="105"/>
      <c r="E10" s="138" t="s">
        <v>155</v>
      </c>
      <c r="F10" s="138" t="s">
        <v>140</v>
      </c>
      <c r="G10" s="138" t="s">
        <v>154</v>
      </c>
      <c r="H10" s="138" t="s">
        <v>141</v>
      </c>
      <c r="I10" s="138" t="s">
        <v>153</v>
      </c>
      <c r="K10" s="143"/>
      <c r="L10" s="179"/>
      <c r="M10" s="180"/>
      <c r="N10" s="181"/>
      <c r="O10" s="179"/>
      <c r="P10" s="180"/>
      <c r="Q10" s="181"/>
    </row>
    <row r="11" spans="1:17" ht="16.5" customHeight="1" thickBot="1" x14ac:dyDescent="0.3">
      <c r="D11" s="105"/>
      <c r="E11" s="139" t="s">
        <v>156</v>
      </c>
      <c r="F11" s="140">
        <v>1</v>
      </c>
      <c r="G11" s="140" t="s">
        <v>157</v>
      </c>
      <c r="H11" s="140" t="s">
        <v>158</v>
      </c>
      <c r="I11" s="140" t="s">
        <v>159</v>
      </c>
      <c r="K11" s="144"/>
      <c r="L11" s="182" t="s">
        <v>180</v>
      </c>
      <c r="M11" s="183"/>
      <c r="N11" s="184"/>
      <c r="O11" s="182" t="s">
        <v>144</v>
      </c>
      <c r="P11" s="183"/>
      <c r="Q11" s="184"/>
    </row>
    <row r="12" spans="1:17" ht="16.5" thickBot="1" x14ac:dyDescent="0.3">
      <c r="A12" s="112" t="s">
        <v>113</v>
      </c>
      <c r="B12" s="113" t="str">
        <f>'Cover Page'!$C$6</f>
        <v>Super</v>
      </c>
      <c r="C12" s="114"/>
      <c r="D12" s="105"/>
      <c r="E12" s="139" t="s">
        <v>160</v>
      </c>
      <c r="F12" s="140">
        <v>1</v>
      </c>
      <c r="G12" s="140" t="s">
        <v>157</v>
      </c>
      <c r="H12" s="140" t="s">
        <v>158</v>
      </c>
      <c r="I12" s="140" t="s">
        <v>159</v>
      </c>
      <c r="K12" s="144"/>
      <c r="L12" s="185"/>
      <c r="M12" s="186"/>
      <c r="N12" s="187"/>
      <c r="O12" s="185"/>
      <c r="P12" s="186"/>
      <c r="Q12" s="187"/>
    </row>
    <row r="13" spans="1:17" ht="32.25" customHeight="1" thickBot="1" x14ac:dyDescent="0.3">
      <c r="A13" s="163" t="s">
        <v>5</v>
      </c>
      <c r="B13" s="164"/>
      <c r="C13" s="165"/>
      <c r="D13" s="105"/>
      <c r="E13" s="139" t="s">
        <v>161</v>
      </c>
      <c r="F13" s="140">
        <v>2</v>
      </c>
      <c r="G13" s="140" t="s">
        <v>162</v>
      </c>
      <c r="H13" s="140" t="s">
        <v>163</v>
      </c>
      <c r="I13" s="140" t="s">
        <v>159</v>
      </c>
      <c r="K13" s="144" t="s">
        <v>179</v>
      </c>
      <c r="L13" s="175" t="s">
        <v>181</v>
      </c>
      <c r="M13" s="143" t="s">
        <v>182</v>
      </c>
      <c r="N13" s="177" t="s">
        <v>184</v>
      </c>
      <c r="O13" s="175" t="s">
        <v>181</v>
      </c>
      <c r="P13" s="143" t="s">
        <v>182</v>
      </c>
      <c r="Q13" s="177" t="s">
        <v>184</v>
      </c>
    </row>
    <row r="14" spans="1:17" ht="32.25" thickBot="1" x14ac:dyDescent="0.3">
      <c r="A14" s="28" t="s">
        <v>6</v>
      </c>
      <c r="B14" s="110" t="e">
        <f>$B$9</f>
        <v>#REF!</v>
      </c>
      <c r="C14" s="30"/>
      <c r="D14" s="105"/>
      <c r="E14" s="139" t="s">
        <v>164</v>
      </c>
      <c r="F14" s="140">
        <v>2</v>
      </c>
      <c r="G14" s="140" t="s">
        <v>162</v>
      </c>
      <c r="H14" s="140" t="s">
        <v>163</v>
      </c>
      <c r="I14" s="140" t="s">
        <v>159</v>
      </c>
      <c r="K14" s="145"/>
      <c r="L14" s="176"/>
      <c r="M14" s="146" t="s">
        <v>183</v>
      </c>
      <c r="N14" s="178"/>
      <c r="O14" s="176"/>
      <c r="P14" s="146" t="s">
        <v>183</v>
      </c>
      <c r="Q14" s="178"/>
    </row>
    <row r="15" spans="1:17" ht="32.25" thickBot="1" x14ac:dyDescent="0.3">
      <c r="A15" s="28" t="s">
        <v>115</v>
      </c>
      <c r="B15" s="111">
        <v>2235780</v>
      </c>
      <c r="C15" s="30"/>
      <c r="D15" s="105"/>
      <c r="E15" s="139" t="s">
        <v>165</v>
      </c>
      <c r="F15" s="140">
        <v>3</v>
      </c>
      <c r="G15" s="140" t="s">
        <v>166</v>
      </c>
      <c r="H15" s="140" t="s">
        <v>163</v>
      </c>
      <c r="I15" s="140" t="s">
        <v>167</v>
      </c>
      <c r="K15" s="139" t="s">
        <v>185</v>
      </c>
      <c r="L15" s="140">
        <v>36</v>
      </c>
      <c r="M15" s="147">
        <v>4000000</v>
      </c>
      <c r="N15" s="140" t="s">
        <v>157</v>
      </c>
      <c r="O15" s="140">
        <v>36</v>
      </c>
      <c r="P15" s="147">
        <v>5000000</v>
      </c>
      <c r="Q15" s="140" t="s">
        <v>159</v>
      </c>
    </row>
    <row r="16" spans="1:17" ht="32.25" thickBot="1" x14ac:dyDescent="0.3">
      <c r="A16" s="28" t="s">
        <v>116</v>
      </c>
      <c r="B16" s="110" t="e">
        <f>B14-B15</f>
        <v>#REF!</v>
      </c>
      <c r="C16" s="30"/>
      <c r="D16" s="105"/>
      <c r="E16" s="139" t="s">
        <v>168</v>
      </c>
      <c r="F16" s="140">
        <v>3</v>
      </c>
      <c r="G16" s="140" t="s">
        <v>166</v>
      </c>
      <c r="H16" s="140" t="s">
        <v>163</v>
      </c>
      <c r="I16" s="140" t="s">
        <v>167</v>
      </c>
      <c r="K16" s="139" t="s">
        <v>186</v>
      </c>
      <c r="L16" s="140">
        <v>24</v>
      </c>
      <c r="M16" s="147">
        <v>3000000</v>
      </c>
      <c r="N16" s="140" t="s">
        <v>162</v>
      </c>
      <c r="O16" s="140">
        <v>24</v>
      </c>
      <c r="P16" s="147">
        <v>3500000</v>
      </c>
      <c r="Q16" s="140" t="s">
        <v>157</v>
      </c>
    </row>
    <row r="17" spans="1:17" ht="32.25" thickBot="1" x14ac:dyDescent="0.3">
      <c r="A17" s="28" t="s">
        <v>117</v>
      </c>
      <c r="B17" s="29">
        <f>'Cover Page'!$C$20</f>
        <v>48</v>
      </c>
      <c r="C17" s="30"/>
      <c r="D17" s="105"/>
      <c r="E17" s="139" t="s">
        <v>169</v>
      </c>
      <c r="F17" s="140">
        <v>4</v>
      </c>
      <c r="G17" s="140" t="s">
        <v>166</v>
      </c>
      <c r="H17" s="140" t="s">
        <v>170</v>
      </c>
      <c r="I17" s="140" t="s">
        <v>162</v>
      </c>
      <c r="K17" s="139" t="s">
        <v>187</v>
      </c>
      <c r="L17" s="140">
        <v>12</v>
      </c>
      <c r="M17" s="147">
        <v>1000000</v>
      </c>
      <c r="N17" s="140" t="s">
        <v>173</v>
      </c>
      <c r="O17" s="140">
        <v>12</v>
      </c>
      <c r="P17" s="147">
        <v>1500000</v>
      </c>
      <c r="Q17" s="140" t="s">
        <v>162</v>
      </c>
    </row>
    <row r="18" spans="1:17" ht="32.25" customHeight="1" thickBot="1" x14ac:dyDescent="0.3">
      <c r="A18" s="28" t="s">
        <v>118</v>
      </c>
      <c r="B18" s="106">
        <f>'Cover Page'!$C$18</f>
        <v>0.28000000000000003</v>
      </c>
      <c r="C18" s="30"/>
      <c r="D18" s="105"/>
      <c r="E18" s="139" t="s">
        <v>171</v>
      </c>
      <c r="F18" s="140">
        <v>4</v>
      </c>
      <c r="G18" s="140" t="s">
        <v>166</v>
      </c>
      <c r="H18" s="140" t="s">
        <v>170</v>
      </c>
      <c r="I18" s="140" t="s">
        <v>162</v>
      </c>
      <c r="K18" s="169" t="s">
        <v>188</v>
      </c>
      <c r="L18" s="170"/>
      <c r="M18" s="170"/>
      <c r="N18" s="170"/>
      <c r="O18" s="170"/>
      <c r="P18" s="170"/>
      <c r="Q18" s="171"/>
    </row>
    <row r="19" spans="1:17" ht="32.25" thickBot="1" x14ac:dyDescent="0.45">
      <c r="A19" s="121" t="s">
        <v>119</v>
      </c>
      <c r="B19" s="115">
        <f>B15</f>
        <v>2235780</v>
      </c>
      <c r="C19" s="35"/>
      <c r="D19" s="105"/>
      <c r="E19" s="139" t="s">
        <v>172</v>
      </c>
      <c r="F19" s="140">
        <v>5</v>
      </c>
      <c r="G19" s="140" t="s">
        <v>173</v>
      </c>
      <c r="H19" s="140" t="s">
        <v>157</v>
      </c>
      <c r="I19" s="140" t="s">
        <v>162</v>
      </c>
      <c r="K19" s="172"/>
      <c r="L19" s="173"/>
      <c r="M19" s="173"/>
      <c r="N19" s="173"/>
      <c r="O19" s="173"/>
      <c r="P19" s="173"/>
      <c r="Q19" s="174"/>
    </row>
    <row r="20" spans="1:17" ht="32.25" thickBot="1" x14ac:dyDescent="0.3">
      <c r="D20" s="105"/>
      <c r="E20" s="139" t="s">
        <v>174</v>
      </c>
      <c r="F20" s="140">
        <v>5</v>
      </c>
      <c r="G20" s="140" t="s">
        <v>173</v>
      </c>
      <c r="H20" s="140" t="s">
        <v>162</v>
      </c>
      <c r="I20" s="140" t="s">
        <v>162</v>
      </c>
    </row>
    <row r="21" spans="1:17" ht="16.5" thickBot="1" x14ac:dyDescent="0.3">
      <c r="D21" s="105"/>
      <c r="E21" s="141" t="s">
        <v>175</v>
      </c>
      <c r="F21" s="142">
        <v>6</v>
      </c>
      <c r="G21" s="142" t="s">
        <v>176</v>
      </c>
      <c r="H21" s="142" t="s">
        <v>166</v>
      </c>
      <c r="I21" s="142" t="s">
        <v>177</v>
      </c>
    </row>
    <row r="22" spans="1:17" ht="32.25" thickBot="1" x14ac:dyDescent="0.3">
      <c r="A22" s="166" t="s">
        <v>120</v>
      </c>
      <c r="B22" s="167"/>
      <c r="C22" s="168"/>
      <c r="D22" s="105"/>
      <c r="E22" s="141" t="s">
        <v>178</v>
      </c>
      <c r="F22" s="142">
        <v>7</v>
      </c>
      <c r="G22" s="142" t="s">
        <v>162</v>
      </c>
      <c r="H22" s="142" t="s">
        <v>167</v>
      </c>
      <c r="I22" s="142" t="s">
        <v>157</v>
      </c>
    </row>
    <row r="23" spans="1:17" x14ac:dyDescent="0.25">
      <c r="A23" s="28" t="s">
        <v>121</v>
      </c>
      <c r="B23" s="42">
        <f>$B$19</f>
        <v>2235780</v>
      </c>
      <c r="C23" s="30"/>
      <c r="D23" s="105"/>
    </row>
    <row r="24" spans="1:17" x14ac:dyDescent="0.25">
      <c r="A24" s="28" t="s">
        <v>122</v>
      </c>
      <c r="B24" s="106">
        <f>'Cover Page'!$C$18</f>
        <v>0.28000000000000003</v>
      </c>
      <c r="C24" s="30" t="s">
        <v>123</v>
      </c>
      <c r="D24" s="105"/>
    </row>
    <row r="25" spans="1:17" x14ac:dyDescent="0.25">
      <c r="A25" s="28" t="s">
        <v>124</v>
      </c>
      <c r="B25" s="29">
        <f>'Cover Page'!$C$20</f>
        <v>48</v>
      </c>
      <c r="C25" s="30" t="s">
        <v>125</v>
      </c>
      <c r="D25" s="105"/>
    </row>
    <row r="26" spans="1:17" ht="18" thickBot="1" x14ac:dyDescent="0.45">
      <c r="A26" s="121" t="s">
        <v>126</v>
      </c>
      <c r="B26" s="123">
        <f>-1*(PV((B24/12),B25,B23))</f>
        <v>64150424.679751568</v>
      </c>
      <c r="C26" s="35"/>
      <c r="D26" s="105"/>
    </row>
    <row r="27" spans="1:17" x14ac:dyDescent="0.25">
      <c r="D27" s="105"/>
    </row>
    <row r="28" spans="1:17" ht="15.75" thickBot="1" x14ac:dyDescent="0.3">
      <c r="D28" s="105"/>
    </row>
    <row r="29" spans="1:17" x14ac:dyDescent="0.25">
      <c r="A29" s="166" t="s">
        <v>127</v>
      </c>
      <c r="B29" s="167"/>
      <c r="C29" s="168"/>
      <c r="D29" s="105"/>
    </row>
    <row r="30" spans="1:17" x14ac:dyDescent="0.25">
      <c r="A30" s="28" t="s">
        <v>113</v>
      </c>
      <c r="B30" s="29" t="str">
        <f>$B$12</f>
        <v>Super</v>
      </c>
      <c r="C30" s="30"/>
      <c r="D30" s="105"/>
    </row>
    <row r="31" spans="1:17" x14ac:dyDescent="0.25">
      <c r="A31" s="28" t="s">
        <v>128</v>
      </c>
      <c r="B31" s="111">
        <v>9900000</v>
      </c>
      <c r="C31" s="30"/>
      <c r="D31" s="105"/>
    </row>
    <row r="32" spans="1:17" x14ac:dyDescent="0.25">
      <c r="A32" s="28" t="s">
        <v>129</v>
      </c>
      <c r="B32" s="116">
        <v>72</v>
      </c>
      <c r="C32" s="30"/>
      <c r="D32" s="105"/>
    </row>
    <row r="33" spans="1:4" x14ac:dyDescent="0.25">
      <c r="A33" s="28" t="s">
        <v>130</v>
      </c>
      <c r="B33" s="117">
        <v>0.27</v>
      </c>
      <c r="C33" s="30"/>
      <c r="D33" s="105"/>
    </row>
    <row r="34" spans="1:4" x14ac:dyDescent="0.25">
      <c r="A34" s="28"/>
      <c r="B34" s="29"/>
      <c r="C34" s="30"/>
      <c r="D34" s="105"/>
    </row>
    <row r="35" spans="1:4" x14ac:dyDescent="0.25">
      <c r="A35" s="28" t="s">
        <v>121</v>
      </c>
      <c r="B35" s="118">
        <f>PMT(B33/12,B32,-B31)</f>
        <v>278955.06435256096</v>
      </c>
      <c r="C35" s="30"/>
      <c r="D35" s="105"/>
    </row>
    <row r="36" spans="1:4" x14ac:dyDescent="0.25">
      <c r="A36" s="28" t="s">
        <v>131</v>
      </c>
      <c r="B36" s="43">
        <f>IF(B31 = "","Client's budget (Principal)",B31*C36)</f>
        <v>396000</v>
      </c>
      <c r="C36" s="119">
        <v>0.04</v>
      </c>
      <c r="D36" s="105"/>
    </row>
    <row r="37" spans="1:4" x14ac:dyDescent="0.25">
      <c r="A37" s="28" t="s">
        <v>132</v>
      </c>
      <c r="B37" s="110">
        <f>B31*C37*B32/12</f>
        <v>445500</v>
      </c>
      <c r="C37" s="120">
        <v>7.4999999999999997E-3</v>
      </c>
      <c r="D37" s="105"/>
    </row>
    <row r="38" spans="1:4" x14ac:dyDescent="0.25">
      <c r="A38" s="28" t="s">
        <v>133</v>
      </c>
      <c r="B38" s="111">
        <v>5485311</v>
      </c>
      <c r="C38" s="30"/>
      <c r="D38" s="105"/>
    </row>
    <row r="39" spans="1:4" ht="18" thickBot="1" x14ac:dyDescent="0.45">
      <c r="A39" s="121" t="s">
        <v>134</v>
      </c>
      <c r="B39" s="109">
        <f>B31-B36-B37-B38</f>
        <v>3573189</v>
      </c>
      <c r="C39" s="35"/>
      <c r="D39" s="105"/>
    </row>
    <row r="40" spans="1:4" x14ac:dyDescent="0.25">
      <c r="D40" s="105"/>
    </row>
    <row r="41" spans="1:4" x14ac:dyDescent="0.25">
      <c r="D41" s="105"/>
    </row>
  </sheetData>
  <mergeCells count="16">
    <mergeCell ref="A1:C1"/>
    <mergeCell ref="A13:C13"/>
    <mergeCell ref="A22:C22"/>
    <mergeCell ref="A29:C29"/>
    <mergeCell ref="E1:K1"/>
    <mergeCell ref="K18:Q19"/>
    <mergeCell ref="L13:L14"/>
    <mergeCell ref="N13:N14"/>
    <mergeCell ref="O13:O14"/>
    <mergeCell ref="Q13:Q14"/>
    <mergeCell ref="L10:N10"/>
    <mergeCell ref="L11:N11"/>
    <mergeCell ref="L12:N12"/>
    <mergeCell ref="O10:Q10"/>
    <mergeCell ref="O11:Q11"/>
    <mergeCell ref="O12:Q12"/>
  </mergeCells>
  <conditionalFormatting sqref="B4">
    <cfRule type="cellIs" dxfId="1" priority="2" operator="lessThan">
      <formula>0</formula>
    </cfRule>
    <cfRule type="cellIs" dxfId="0" priority="3" operator="greaterThan">
      <formula>0</formula>
    </cfRule>
  </conditionalFormatting>
  <dataValidations count="4">
    <dataValidation type="list" allowBlank="1" showInputMessage="1" showErrorMessage="1" sqref="F3" xr:uid="{2330C22A-D2E6-4685-926B-4F446318E889}">
      <formula1>"1,2,3,4,5,6,7"</formula1>
    </dataValidation>
    <dataValidation type="list" allowBlank="1" showInputMessage="1" showErrorMessage="1" sqref="F4" xr:uid="{1E1685D1-221B-49A6-89B7-372CB0E640A0}">
      <formula1>"School Property, Residential, Commercial"</formula1>
    </dataValidation>
    <dataValidation type="list" allowBlank="1" showInputMessage="1" showErrorMessage="1" sqref="G5" xr:uid="{F3411934-7C0C-4714-B527-97247ACA9BFE}">
      <formula1>"0 - 3., 4 - 9., 10 - 15."</formula1>
    </dataValidation>
    <dataValidation type="list" allowBlank="1" showInputMessage="1" showErrorMessage="1" sqref="G6" xr:uid="{424B7424-E8A1-4C1E-9BFA-9CD83466A8F3}">
      <formula1>"School Vehicle, Private Vehicle"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C0650-623A-4F31-910A-02686CD669F9}">
  <dimension ref="A1:L22"/>
  <sheetViews>
    <sheetView tabSelected="1" zoomScale="86" zoomScaleNormal="86" workbookViewId="0">
      <selection activeCell="G29" sqref="G29"/>
    </sheetView>
  </sheetViews>
  <sheetFormatPr defaultRowHeight="15" x14ac:dyDescent="0.25"/>
  <cols>
    <col min="1" max="1" width="30.5703125" bestFit="1" customWidth="1"/>
    <col min="2" max="2" width="6.5703125" bestFit="1" customWidth="1"/>
    <col min="3" max="3" width="8.28515625" bestFit="1" customWidth="1"/>
    <col min="4" max="4" width="8.42578125" bestFit="1" customWidth="1"/>
    <col min="5" max="5" width="74" bestFit="1" customWidth="1"/>
    <col min="8" max="8" width="30.5703125" bestFit="1" customWidth="1"/>
    <col min="12" max="12" width="104.5703125" bestFit="1" customWidth="1"/>
  </cols>
  <sheetData>
    <row r="1" spans="1:12" x14ac:dyDescent="0.25">
      <c r="A1" s="151" t="s">
        <v>48</v>
      </c>
      <c r="B1" s="152"/>
      <c r="C1" s="152"/>
      <c r="D1" s="152"/>
      <c r="E1" s="153"/>
      <c r="H1" s="37"/>
      <c r="I1" s="152" t="s">
        <v>39</v>
      </c>
      <c r="J1" s="152"/>
      <c r="K1" s="152"/>
      <c r="L1" s="38"/>
    </row>
    <row r="2" spans="1:12" x14ac:dyDescent="0.25">
      <c r="A2" s="16" t="s">
        <v>42</v>
      </c>
      <c r="B2" s="17" t="s">
        <v>29</v>
      </c>
      <c r="C2" s="17" t="s">
        <v>28</v>
      </c>
      <c r="D2" s="17" t="s">
        <v>30</v>
      </c>
      <c r="E2" s="18" t="s">
        <v>27</v>
      </c>
      <c r="H2" s="28"/>
      <c r="I2" s="29" t="s">
        <v>34</v>
      </c>
      <c r="J2" s="29" t="s">
        <v>35</v>
      </c>
      <c r="K2" s="29" t="s">
        <v>36</v>
      </c>
      <c r="L2" s="30"/>
    </row>
    <row r="3" spans="1:12" x14ac:dyDescent="0.25">
      <c r="A3" s="19" t="s">
        <v>26</v>
      </c>
      <c r="B3" s="20">
        <v>4.8000000000000001E-2</v>
      </c>
      <c r="C3" s="21">
        <v>0.1</v>
      </c>
      <c r="D3" s="22">
        <f>B3*C3</f>
        <v>4.8000000000000004E-3</v>
      </c>
      <c r="E3" s="23" t="s">
        <v>59</v>
      </c>
      <c r="H3" s="28" t="s">
        <v>33</v>
      </c>
      <c r="I3" s="47">
        <v>0.10100000000000001</v>
      </c>
      <c r="J3" s="47">
        <f>$B$5</f>
        <v>5.0999999999999997E-2</v>
      </c>
      <c r="K3" s="47">
        <v>0.05</v>
      </c>
      <c r="L3" s="39" t="s">
        <v>37</v>
      </c>
    </row>
    <row r="4" spans="1:12" x14ac:dyDescent="0.25">
      <c r="A4" s="19" t="s">
        <v>38</v>
      </c>
      <c r="B4" s="20">
        <v>0.1588</v>
      </c>
      <c r="C4" s="21">
        <v>0.2</v>
      </c>
      <c r="D4" s="22">
        <f>-(B4*C4)</f>
        <v>-3.1760000000000004E-2</v>
      </c>
      <c r="E4" s="23" t="s">
        <v>61</v>
      </c>
      <c r="H4" s="19" t="s">
        <v>38</v>
      </c>
      <c r="I4" s="48">
        <v>0.13</v>
      </c>
      <c r="J4" s="49">
        <f>$B$4</f>
        <v>0.1588</v>
      </c>
      <c r="K4" s="47">
        <v>8.2500000000000004E-2</v>
      </c>
      <c r="L4" s="40" t="s">
        <v>46</v>
      </c>
    </row>
    <row r="5" spans="1:12" x14ac:dyDescent="0.25">
      <c r="A5" s="19" t="s">
        <v>25</v>
      </c>
      <c r="B5" s="20">
        <v>5.0999999999999997E-2</v>
      </c>
      <c r="C5" s="21">
        <v>0.3</v>
      </c>
      <c r="D5" s="22">
        <f>-(B5*C5)</f>
        <v>-1.5299999999999998E-2</v>
      </c>
      <c r="E5" s="23" t="s">
        <v>58</v>
      </c>
      <c r="H5" s="19" t="s">
        <v>26</v>
      </c>
      <c r="I5" s="47">
        <v>3.7999999999999999E-2</v>
      </c>
      <c r="J5" s="49">
        <f>$B$3</f>
        <v>4.8000000000000001E-2</v>
      </c>
      <c r="K5" s="47">
        <v>7.5999999999999998E-2</v>
      </c>
      <c r="L5" s="40" t="s">
        <v>40</v>
      </c>
    </row>
    <row r="6" spans="1:12" ht="15.75" thickBot="1" x14ac:dyDescent="0.3">
      <c r="A6" s="19" t="s">
        <v>24</v>
      </c>
      <c r="B6" s="20">
        <v>5.6000000000000001E-2</v>
      </c>
      <c r="C6" s="21">
        <v>0.4</v>
      </c>
      <c r="D6" s="22">
        <f t="shared" ref="D6" si="0">-(B6*C6)</f>
        <v>-2.2400000000000003E-2</v>
      </c>
      <c r="E6" s="23" t="s">
        <v>60</v>
      </c>
      <c r="H6" s="24" t="s">
        <v>24</v>
      </c>
      <c r="I6" s="46">
        <v>0.122</v>
      </c>
      <c r="J6" s="46">
        <f>$B$6</f>
        <v>5.6000000000000001E-2</v>
      </c>
      <c r="K6" s="46">
        <v>4.7E-2</v>
      </c>
      <c r="L6" s="41" t="s">
        <v>41</v>
      </c>
    </row>
    <row r="7" spans="1:12" ht="15.75" thickBot="1" x14ac:dyDescent="0.3">
      <c r="A7" s="24"/>
      <c r="B7" s="25"/>
      <c r="C7" s="25"/>
      <c r="D7" s="26">
        <f>SUM(D3:D6)</f>
        <v>-6.4660000000000009E-2</v>
      </c>
      <c r="E7" s="27"/>
    </row>
    <row r="8" spans="1:12" ht="15.75" thickBot="1" x14ac:dyDescent="0.3">
      <c r="A8" s="1"/>
      <c r="B8" s="1"/>
      <c r="C8" s="1"/>
      <c r="D8" s="15"/>
      <c r="E8" s="1"/>
    </row>
    <row r="9" spans="1:12" ht="15.75" thickBot="1" x14ac:dyDescent="0.3">
      <c r="A9" s="151" t="s">
        <v>31</v>
      </c>
      <c r="B9" s="152"/>
      <c r="C9" s="152"/>
      <c r="D9" s="152"/>
      <c r="E9" s="153"/>
    </row>
    <row r="10" spans="1:12" x14ac:dyDescent="0.25">
      <c r="A10" s="28" t="s">
        <v>42</v>
      </c>
      <c r="B10" s="29" t="s">
        <v>29</v>
      </c>
      <c r="C10" s="29" t="s">
        <v>28</v>
      </c>
      <c r="D10" s="29" t="s">
        <v>30</v>
      </c>
      <c r="E10" s="30"/>
      <c r="H10" s="151" t="s">
        <v>20</v>
      </c>
      <c r="I10" s="152"/>
      <c r="J10" s="152"/>
      <c r="K10" s="152"/>
      <c r="L10" s="38"/>
    </row>
    <row r="11" spans="1:12" x14ac:dyDescent="0.25">
      <c r="A11" s="28" t="s">
        <v>26</v>
      </c>
      <c r="B11" s="31">
        <v>7.5999999999999998E-2</v>
      </c>
      <c r="C11" s="29">
        <v>0.1</v>
      </c>
      <c r="D11" s="32">
        <f>B11*C11</f>
        <v>7.6E-3</v>
      </c>
      <c r="E11" s="23"/>
      <c r="H11" s="28" t="s">
        <v>43</v>
      </c>
      <c r="I11" s="29" t="s">
        <v>44</v>
      </c>
      <c r="J11" s="29" t="s">
        <v>28</v>
      </c>
      <c r="K11" s="29" t="s">
        <v>30</v>
      </c>
      <c r="L11" s="30"/>
    </row>
    <row r="12" spans="1:12" x14ac:dyDescent="0.25">
      <c r="A12" s="19" t="s">
        <v>38</v>
      </c>
      <c r="B12" s="32">
        <v>8.2500000000000004E-2</v>
      </c>
      <c r="C12" s="29">
        <v>0.2</v>
      </c>
      <c r="D12" s="32">
        <f>-(B12*C12)</f>
        <v>-1.6500000000000001E-2</v>
      </c>
      <c r="E12" s="23"/>
      <c r="H12" s="28" t="s">
        <v>26</v>
      </c>
      <c r="I12" s="36">
        <v>5.3199999999999997E-2</v>
      </c>
      <c r="J12" s="29">
        <v>0.1</v>
      </c>
      <c r="K12" s="32">
        <f>I12*J12</f>
        <v>5.3200000000000001E-3</v>
      </c>
      <c r="L12" s="39" t="s">
        <v>62</v>
      </c>
    </row>
    <row r="13" spans="1:12" x14ac:dyDescent="0.25">
      <c r="A13" s="28" t="s">
        <v>25</v>
      </c>
      <c r="B13" s="31">
        <v>0.05</v>
      </c>
      <c r="C13" s="29">
        <v>0.3</v>
      </c>
      <c r="D13" s="32">
        <f t="shared" ref="D13:D14" si="1">-(B13*C13)</f>
        <v>-1.4999999999999999E-2</v>
      </c>
      <c r="E13" s="23"/>
      <c r="H13" s="28" t="s">
        <v>38</v>
      </c>
      <c r="I13" s="36">
        <v>9.5000000000000001E-2</v>
      </c>
      <c r="J13" s="29">
        <v>0.2</v>
      </c>
      <c r="K13" s="32">
        <f>-1*(I13*J13)</f>
        <v>-1.9000000000000003E-2</v>
      </c>
      <c r="L13" s="39" t="s">
        <v>46</v>
      </c>
    </row>
    <row r="14" spans="1:12" x14ac:dyDescent="0.25">
      <c r="A14" s="28" t="s">
        <v>24</v>
      </c>
      <c r="B14" s="31">
        <v>4.7E-2</v>
      </c>
      <c r="C14" s="29">
        <v>0.4</v>
      </c>
      <c r="D14" s="32">
        <f t="shared" si="1"/>
        <v>-1.8800000000000001E-2</v>
      </c>
      <c r="E14" s="23"/>
      <c r="H14" s="28" t="s">
        <v>25</v>
      </c>
      <c r="I14" s="36">
        <v>4.8000000000000001E-2</v>
      </c>
      <c r="J14" s="29">
        <v>0.3</v>
      </c>
      <c r="K14" s="32">
        <f t="shared" ref="K14:K15" si="2">-1*(I14*J14)</f>
        <v>-1.44E-2</v>
      </c>
      <c r="L14" s="39" t="s">
        <v>63</v>
      </c>
    </row>
    <row r="15" spans="1:12" ht="15.75" thickBot="1" x14ac:dyDescent="0.3">
      <c r="A15" s="33"/>
      <c r="B15" s="34"/>
      <c r="C15" s="34"/>
      <c r="D15" s="46">
        <f>SUM(D11:D14)</f>
        <v>-4.2700000000000002E-2</v>
      </c>
      <c r="E15" s="35"/>
      <c r="H15" s="28" t="s">
        <v>24</v>
      </c>
      <c r="I15" s="36">
        <v>5.2999999999999999E-2</v>
      </c>
      <c r="J15" s="29">
        <v>0.4</v>
      </c>
      <c r="K15" s="32">
        <f t="shared" si="2"/>
        <v>-2.12E-2</v>
      </c>
      <c r="L15" s="39" t="s">
        <v>64</v>
      </c>
    </row>
    <row r="16" spans="1:12" ht="15.75" thickBot="1" x14ac:dyDescent="0.3">
      <c r="A16" s="151" t="s">
        <v>32</v>
      </c>
      <c r="B16" s="152"/>
      <c r="C16" s="152"/>
      <c r="D16" s="152"/>
      <c r="E16" s="153"/>
      <c r="H16" s="33"/>
      <c r="I16" s="34"/>
      <c r="J16" s="34"/>
      <c r="K16" s="50">
        <f>SUM(K12:K15)</f>
        <v>-4.9280000000000004E-2</v>
      </c>
      <c r="L16" s="35"/>
    </row>
    <row r="17" spans="1:5" x14ac:dyDescent="0.25">
      <c r="A17" s="28" t="s">
        <v>42</v>
      </c>
      <c r="B17" s="29" t="s">
        <v>29</v>
      </c>
      <c r="C17" s="29" t="s">
        <v>28</v>
      </c>
      <c r="D17" s="29" t="s">
        <v>30</v>
      </c>
      <c r="E17" s="30"/>
    </row>
    <row r="18" spans="1:5" x14ac:dyDescent="0.25">
      <c r="A18" s="28" t="s">
        <v>26</v>
      </c>
      <c r="B18" s="31">
        <v>3.7999999999999999E-2</v>
      </c>
      <c r="C18" s="29">
        <v>0.1</v>
      </c>
      <c r="D18" s="32">
        <f>B18*C18</f>
        <v>3.8E-3</v>
      </c>
      <c r="E18" s="23"/>
    </row>
    <row r="19" spans="1:5" x14ac:dyDescent="0.25">
      <c r="A19" s="19" t="s">
        <v>38</v>
      </c>
      <c r="B19" s="31">
        <v>0.13</v>
      </c>
      <c r="C19" s="29">
        <v>0.2</v>
      </c>
      <c r="D19" s="32">
        <f>-(B19*C19)</f>
        <v>-2.6000000000000002E-2</v>
      </c>
      <c r="E19" s="23"/>
    </row>
    <row r="20" spans="1:5" x14ac:dyDescent="0.25">
      <c r="A20" s="28" t="s">
        <v>25</v>
      </c>
      <c r="B20" s="31">
        <v>0.10100000000000001</v>
      </c>
      <c r="C20" s="29">
        <v>0.3</v>
      </c>
      <c r="D20" s="32">
        <f t="shared" ref="D20:D21" si="3">-(B20*C20)</f>
        <v>-3.0300000000000001E-2</v>
      </c>
      <c r="E20" s="23"/>
    </row>
    <row r="21" spans="1:5" x14ac:dyDescent="0.25">
      <c r="A21" s="28" t="s">
        <v>24</v>
      </c>
      <c r="B21" s="31">
        <v>0.122</v>
      </c>
      <c r="C21" s="29">
        <v>0.4</v>
      </c>
      <c r="D21" s="32">
        <f t="shared" si="3"/>
        <v>-4.8800000000000003E-2</v>
      </c>
      <c r="E21" s="23"/>
    </row>
    <row r="22" spans="1:5" ht="15.75" thickBot="1" x14ac:dyDescent="0.3">
      <c r="A22" s="33"/>
      <c r="B22" s="34"/>
      <c r="C22" s="34"/>
      <c r="D22" s="46">
        <f>SUM(D18:D21)</f>
        <v>-0.1013</v>
      </c>
      <c r="E22" s="35"/>
    </row>
  </sheetData>
  <mergeCells count="5">
    <mergeCell ref="A1:E1"/>
    <mergeCell ref="A9:E9"/>
    <mergeCell ref="A16:E16"/>
    <mergeCell ref="I1:K1"/>
    <mergeCell ref="H10:K10"/>
  </mergeCells>
  <hyperlinks>
    <hyperlink ref="E3" r:id="rId1" xr:uid="{90B4C39E-00F0-4055-817C-BC851F59A098}"/>
    <hyperlink ref="E6" r:id="rId2" xr:uid="{6F63859A-1F3A-4A33-89ED-D3BA9C21829C}"/>
    <hyperlink ref="E5" r:id="rId3" xr:uid="{25AAC512-8F6F-4E2D-B006-59B8E1BB9FF7}"/>
    <hyperlink ref="L3" r:id="rId4" xr:uid="{24F542D4-6C65-4270-A62D-565A2EF18F50}"/>
    <hyperlink ref="L5" r:id="rId5" xr:uid="{180B5AAF-EC04-432F-97E9-A4F35398C7BC}"/>
    <hyperlink ref="L6" r:id="rId6" display="https://tradingeconomics.com/kenya/unemployment-rate" xr:uid="{5113125E-5C1F-4A0F-A48F-2CE92759D60F}"/>
    <hyperlink ref="L15" r:id="rId7" location=":~:text=In%20the%20long%2Dterm%2C%20the,according%20to%20our%20econometric%20models.&amp;text=In%20Kenya%2C%20the%20unemployment%20rate,percentage%20of%20the%20labour%20force." xr:uid="{4A3DAC1E-9499-4F8C-B6AA-B4B62451D774}"/>
    <hyperlink ref="L14" r:id="rId8" location=":~:text=Inflation%20Rate%20in%20Kenya%20is,according%20to%20our%20econometric%20models." xr:uid="{3A4950A5-4755-4615-B478-AC8767961A0F}"/>
    <hyperlink ref="L12" r:id="rId9" xr:uid="{86FCFE2E-5D62-4EA1-89E1-7A8D94B875A6}"/>
    <hyperlink ref="L13" r:id="rId10" location=":~:text=In%20the%20long%2Dterm%2C%20the,according%20to%20our%20econometric%20models.&amp;text=In%20Kenya%2C%20interest%20rates%20decisions,The%20Central%20Bank%20of%20Kenya." xr:uid="{F0D67C7D-940A-42EC-B57A-A33B6976BB25}"/>
    <hyperlink ref="L4" r:id="rId11" location=":~:text=In%20the%20long%2Dterm%2C%20the,according%20to%20our%20econometric%20models.&amp;text=In%20Kenya%2C%20interest%20rates%20decisions,The%20Central%20Bank%20of%20Kenya." xr:uid="{54B9566C-3C65-4484-9440-F2DEE2A71865}"/>
    <hyperlink ref="E4" r:id="rId12" xr:uid="{DC8F2865-DBB2-4DAF-847C-50D6C564EEF6}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Risk Based Pricing</vt:lpstr>
      <vt:lpstr>Affordability</vt:lpstr>
      <vt:lpstr>Macro Econ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John Waithaka Gikiri</cp:lastModifiedBy>
  <dcterms:created xsi:type="dcterms:W3CDTF">2023-02-09T13:23:12Z</dcterms:created>
  <dcterms:modified xsi:type="dcterms:W3CDTF">2024-07-01T12:54:31Z</dcterms:modified>
</cp:coreProperties>
</file>