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minegonzales/Downloads/{LinDuva}_Module12_Data/"/>
    </mc:Choice>
  </mc:AlternateContent>
  <xr:revisionPtr revIDLastSave="0" documentId="8_{95964267-193A-564F-83B4-A6A1324BBBD3}" xr6:coauthVersionLast="47" xr6:coauthVersionMax="47" xr10:uidLastSave="{00000000-0000-0000-0000-000000000000}"/>
  <bookViews>
    <workbookView xWindow="6700" yWindow="640" windowWidth="24460" windowHeight="15880" activeTab="3" xr2:uid="{48B13EF6-4CA9-F049-A1BA-A917FC08B878}"/>
  </bookViews>
  <sheets>
    <sheet name="{LinDuva}_Module12_Current_DCs" sheetId="2" r:id="rId1"/>
    <sheet name="{LinDuva}_Module12_Projected_Gr" sheetId="1" r:id="rId2"/>
    <sheet name="EDA" sheetId="3" r:id="rId3"/>
    <sheet name="Model" sheetId="5" r:id="rId4"/>
    <sheet name="Stipulation Model" sheetId="7" r:id="rId5"/>
  </sheets>
  <definedNames>
    <definedName name="solver_adj" localSheetId="3" hidden="1">Model!$G$13:$H$13</definedName>
    <definedName name="solver_adj" localSheetId="4" hidden="1">'Stipulation Model'!$G$13:$H$13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itr" localSheetId="3" hidden="1">2147483647</definedName>
    <definedName name="solver_itr" localSheetId="4" hidden="1">2147483647</definedName>
    <definedName name="solver_lin" localSheetId="3" hidden="1">2</definedName>
    <definedName name="solver_lin" localSheetId="4" hidden="1">2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2</definedName>
    <definedName name="solver_neg" localSheetId="4" hidden="1">2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0</definedName>
    <definedName name="solver_opt" localSheetId="3" hidden="1">Model!$C$13</definedName>
    <definedName name="solver_opt" localSheetId="4" hidden="1">'Stipulation Model'!$C$13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2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2</definedName>
    <definedName name="solver_ver" localSheetId="4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5" i="7" l="1"/>
  <c r="N5" i="7" s="1"/>
  <c r="M6" i="7"/>
  <c r="N6" i="7" s="1"/>
  <c r="M7" i="7"/>
  <c r="N7" i="7" s="1"/>
  <c r="M8" i="7"/>
  <c r="N8" i="7" s="1"/>
  <c r="M9" i="7"/>
  <c r="N9" i="7" s="1"/>
  <c r="M10" i="7"/>
  <c r="N10" i="7" s="1"/>
  <c r="M11" i="7"/>
  <c r="N11" i="7" s="1"/>
  <c r="M4" i="7"/>
  <c r="N4" i="7" s="1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11" i="5"/>
  <c r="G11" i="5"/>
  <c r="F11" i="5"/>
  <c r="H10" i="5"/>
  <c r="G10" i="5"/>
  <c r="F10" i="5"/>
  <c r="H9" i="5"/>
  <c r="G9" i="5"/>
  <c r="F9" i="5"/>
  <c r="H8" i="5"/>
  <c r="G8" i="5"/>
  <c r="F8" i="5"/>
  <c r="H7" i="5"/>
  <c r="G7" i="5"/>
  <c r="I7" i="5" s="1"/>
  <c r="F7" i="5"/>
  <c r="H6" i="5"/>
  <c r="G6" i="5"/>
  <c r="F6" i="5"/>
  <c r="H5" i="5"/>
  <c r="G5" i="5"/>
  <c r="F5" i="5"/>
  <c r="H4" i="5"/>
  <c r="G4" i="5"/>
  <c r="F4" i="5"/>
  <c r="G5" i="3"/>
  <c r="H13" i="3"/>
  <c r="H4" i="3" s="1"/>
  <c r="G13" i="3"/>
  <c r="G4" i="3" s="1"/>
  <c r="I4" i="3" s="1"/>
  <c r="J4" i="3" s="1"/>
  <c r="F5" i="3"/>
  <c r="F6" i="3"/>
  <c r="F7" i="3"/>
  <c r="F8" i="3"/>
  <c r="F9" i="3"/>
  <c r="F10" i="3"/>
  <c r="F11" i="3"/>
  <c r="F4" i="3"/>
  <c r="G6" i="3" l="1"/>
  <c r="I9" i="7"/>
  <c r="H5" i="3"/>
  <c r="I5" i="3" s="1"/>
  <c r="H11" i="3"/>
  <c r="G10" i="3"/>
  <c r="H10" i="3"/>
  <c r="G11" i="3"/>
  <c r="G9" i="3"/>
  <c r="H9" i="3"/>
  <c r="I9" i="3" s="1"/>
  <c r="G8" i="3"/>
  <c r="H8" i="3"/>
  <c r="G7" i="3"/>
  <c r="H7" i="3"/>
  <c r="I7" i="3" s="1"/>
  <c r="I5" i="7"/>
  <c r="K5" i="7" s="1"/>
  <c r="H6" i="3"/>
  <c r="I6" i="3" s="1"/>
  <c r="K6" i="3" s="1"/>
  <c r="I11" i="7"/>
  <c r="I10" i="7"/>
  <c r="I7" i="7"/>
  <c r="I8" i="7"/>
  <c r="K8" i="7" s="1"/>
  <c r="I4" i="7"/>
  <c r="J4" i="7" s="1"/>
  <c r="I6" i="7"/>
  <c r="J6" i="7" s="1"/>
  <c r="K7" i="7"/>
  <c r="J7" i="7"/>
  <c r="K9" i="7"/>
  <c r="J9" i="7"/>
  <c r="J10" i="7"/>
  <c r="K10" i="7"/>
  <c r="K11" i="7"/>
  <c r="J11" i="7"/>
  <c r="I11" i="5"/>
  <c r="I6" i="5"/>
  <c r="K6" i="5" s="1"/>
  <c r="I4" i="5"/>
  <c r="K4" i="5" s="1"/>
  <c r="I8" i="5"/>
  <c r="J8" i="5" s="1"/>
  <c r="I5" i="5"/>
  <c r="K5" i="5" s="1"/>
  <c r="I9" i="5"/>
  <c r="K9" i="5" s="1"/>
  <c r="I10" i="5"/>
  <c r="J10" i="5" s="1"/>
  <c r="K7" i="5"/>
  <c r="J7" i="5"/>
  <c r="K11" i="5"/>
  <c r="J11" i="5"/>
  <c r="J7" i="3"/>
  <c r="K7" i="3"/>
  <c r="J9" i="3"/>
  <c r="K9" i="3"/>
  <c r="J6" i="3"/>
  <c r="K4" i="3"/>
  <c r="J5" i="3" l="1"/>
  <c r="K5" i="3"/>
  <c r="I10" i="3"/>
  <c r="K8" i="5"/>
  <c r="I8" i="3"/>
  <c r="J5" i="7"/>
  <c r="I11" i="3"/>
  <c r="K4" i="7"/>
  <c r="J8" i="7"/>
  <c r="M13" i="7" s="1"/>
  <c r="K6" i="7"/>
  <c r="J4" i="5"/>
  <c r="J9" i="5"/>
  <c r="J6" i="5"/>
  <c r="J5" i="5"/>
  <c r="K10" i="5"/>
  <c r="C13" i="5" s="1"/>
  <c r="K11" i="3" l="1"/>
  <c r="J11" i="3"/>
  <c r="J8" i="3"/>
  <c r="K8" i="3"/>
  <c r="J10" i="3"/>
  <c r="K10" i="3"/>
  <c r="M14" i="7"/>
  <c r="M15" i="7" s="1"/>
  <c r="C13" i="7" s="1"/>
  <c r="C13" i="3" l="1"/>
</calcChain>
</file>

<file path=xl/sharedStrings.xml><?xml version="1.0" encoding="utf-8"?>
<sst xmlns="http://purl.oclc.org/ooxml/spreadsheetml/main" count="97" uniqueCount="33">
  <si>
    <t>store_name</t>
  </si>
  <si>
    <t>lat</t>
  </si>
  <si>
    <t>long</t>
  </si>
  <si>
    <t>last_year_demand</t>
  </si>
  <si>
    <t>expected_yoy_change</t>
  </si>
  <si>
    <t>Candy Cane Canyon</t>
  </si>
  <si>
    <t>Chocolate Chip Cliffs</t>
  </si>
  <si>
    <t>Fizzwhiz Fjord</t>
  </si>
  <si>
    <t>Ginger Snap Garden</t>
  </si>
  <si>
    <t>Mochi Metropolis</t>
  </si>
  <si>
    <t>Pineapple Pop Paradise</t>
  </si>
  <si>
    <t>Starburst Starlit Skies</t>
  </si>
  <si>
    <t>Taffy Tundra</t>
  </si>
  <si>
    <t>Toblerone Tower</t>
  </si>
  <si>
    <t>dc_name</t>
  </si>
  <si>
    <t>Latitude</t>
  </si>
  <si>
    <t>Longitude</t>
  </si>
  <si>
    <t>Current DC</t>
  </si>
  <si>
    <t>New DC Distance</t>
  </si>
  <si>
    <t>Use New?</t>
  </si>
  <si>
    <t>Distance</t>
  </si>
  <si>
    <t>Store Location</t>
  </si>
  <si>
    <t>New DC</t>
  </si>
  <si>
    <t>Current DC Distance</t>
  </si>
  <si>
    <t>Model Decision</t>
  </si>
  <si>
    <t>Stores</t>
  </si>
  <si>
    <t>Objective:</t>
  </si>
  <si>
    <t>New DC:</t>
  </si>
  <si>
    <t>Demand</t>
  </si>
  <si>
    <t>Last Years</t>
  </si>
  <si>
    <t>This Years</t>
  </si>
  <si>
    <t>Difference</t>
  </si>
  <si>
    <t>ABSOLUTE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</si>
</sst>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C00000"/>
      <name val="Aptos Narrow"/>
      <scheme val="minor"/>
    </font>
    <font>
      <b/>
      <sz val="12"/>
      <color theme="6"/>
      <name val="Aptos Narrow"/>
      <scheme val="minor"/>
    </font>
    <font>
      <b/>
      <sz val="12"/>
      <color theme="3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3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double">
        <color indexed="64"/>
      </bottom>
      <diagonal/>
    </border>
    <border>
      <start/>
      <end/>
      <top style="medium">
        <color indexed="64"/>
      </top>
      <bottom style="double">
        <color indexed="64"/>
      </bottom>
      <diagonal/>
    </border>
    <border>
      <start/>
      <end style="thin">
        <color indexed="64"/>
      </end>
      <top style="medium">
        <color indexed="64"/>
      </top>
      <bottom style="double">
        <color indexed="64"/>
      </bottom>
      <diagonal/>
    </border>
    <border>
      <start/>
      <end style="medium">
        <color indexed="64"/>
      </end>
      <top style="medium">
        <color indexed="64"/>
      </top>
      <bottom style="double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 style="double">
        <color indexed="64"/>
      </top>
      <bottom style="thin">
        <color indexed="64"/>
      </bottom>
      <diagonal/>
    </border>
    <border>
      <start/>
      <end style="medium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double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" fillId="11" borderId="22" xfId="20" applyBorder="1"/>
    <xf numFmtId="0" fontId="1" fillId="11" borderId="23" xfId="20" applyBorder="1" applyAlignment="1">
      <alignment horizontal="center"/>
    </xf>
    <xf numFmtId="0" fontId="1" fillId="11" borderId="24" xfId="20" applyBorder="1" applyAlignment="1">
      <alignment horizontal="center"/>
    </xf>
    <xf numFmtId="0" fontId="1" fillId="11" borderId="25" xfId="20" applyBorder="1" applyAlignment="1">
      <alignment horizontal="center"/>
    </xf>
    <xf numFmtId="0" fontId="1" fillId="14" borderId="15" xfId="23" applyBorder="1"/>
    <xf numFmtId="0" fontId="1" fillId="14" borderId="14" xfId="23" applyBorder="1"/>
    <xf numFmtId="0" fontId="0" fillId="33" borderId="13" xfId="0" applyFill="1" applyBorder="1"/>
    <xf numFmtId="0" fontId="1" fillId="18" borderId="0" xfId="27" applyBorder="1" applyAlignment="1">
      <alignment horizontal="center"/>
    </xf>
    <xf numFmtId="0" fontId="1" fillId="18" borderId="16" xfId="27" applyBorder="1" applyAlignment="1">
      <alignment horizontal="center"/>
    </xf>
    <xf numFmtId="0" fontId="1" fillId="26" borderId="0" xfId="35" applyBorder="1" applyAlignment="1">
      <alignment horizontal="center"/>
    </xf>
    <xf numFmtId="2" fontId="1" fillId="3" borderId="16" xfId="7" applyNumberFormat="1" applyFont="1" applyBorder="1" applyAlignment="1">
      <alignment horizontal="center"/>
    </xf>
    <xf numFmtId="0" fontId="1" fillId="18" borderId="12" xfId="27" applyBorder="1" applyAlignment="1">
      <alignment horizontal="center"/>
    </xf>
    <xf numFmtId="0" fontId="1" fillId="18" borderId="17" xfId="27" applyBorder="1" applyAlignment="1">
      <alignment horizontal="center"/>
    </xf>
    <xf numFmtId="0" fontId="1" fillId="26" borderId="12" xfId="35" applyBorder="1" applyAlignment="1">
      <alignment horizontal="center"/>
    </xf>
    <xf numFmtId="2" fontId="1" fillId="3" borderId="17" xfId="7" applyNumberFormat="1" applyFont="1" applyBorder="1" applyAlignment="1">
      <alignment horizontal="center"/>
    </xf>
    <xf numFmtId="0" fontId="1" fillId="10" borderId="18" xfId="19" applyBorder="1" applyAlignment="1">
      <alignment horizontal="center"/>
    </xf>
    <xf numFmtId="0" fontId="1" fillId="10" borderId="19" xfId="19" applyBorder="1" applyAlignment="1">
      <alignment horizontal="center"/>
    </xf>
    <xf numFmtId="0" fontId="1" fillId="10" borderId="20" xfId="19" applyBorder="1" applyAlignment="1">
      <alignment horizontal="center"/>
    </xf>
    <xf numFmtId="0" fontId="1" fillId="10" borderId="21" xfId="19" applyBorder="1" applyAlignment="1">
      <alignment horizontal="center"/>
    </xf>
    <xf numFmtId="2" fontId="18" fillId="33" borderId="0" xfId="0" applyNumberFormat="1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2" fontId="18" fillId="33" borderId="16" xfId="0" applyNumberFormat="1" applyFont="1" applyFill="1" applyBorder="1" applyAlignment="1">
      <alignment horizontal="center"/>
    </xf>
    <xf numFmtId="2" fontId="18" fillId="33" borderId="12" xfId="0" applyNumberFormat="1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2" fontId="18" fillId="33" borderId="17" xfId="0" applyNumberFormat="1" applyFont="1" applyFill="1" applyBorder="1" applyAlignment="1">
      <alignment horizontal="center"/>
    </xf>
    <xf numFmtId="0" fontId="0" fillId="0" borderId="26" xfId="0" applyBorder="1"/>
    <xf numFmtId="2" fontId="19" fillId="33" borderId="28" xfId="0" applyNumberFormat="1" applyFont="1" applyFill="1" applyBorder="1"/>
    <xf numFmtId="0" fontId="19" fillId="33" borderId="27" xfId="0" applyFont="1" applyFill="1" applyBorder="1"/>
    <xf numFmtId="2" fontId="20" fillId="33" borderId="27" xfId="0" applyNumberFormat="1" applyFont="1" applyFill="1" applyBorder="1"/>
    <xf numFmtId="2" fontId="19" fillId="33" borderId="27" xfId="0" applyNumberFormat="1" applyFont="1" applyFill="1" applyBorder="1"/>
    <xf numFmtId="169" fontId="18" fillId="33" borderId="0" xfId="0" applyNumberFormat="1" applyFont="1" applyFill="1" applyBorder="1" applyAlignment="1">
      <alignment horizontal="center"/>
    </xf>
    <xf numFmtId="169" fontId="18" fillId="33" borderId="12" xfId="0" applyNumberFormat="1" applyFont="1" applyFill="1" applyBorder="1" applyAlignment="1">
      <alignment horizontal="center"/>
    </xf>
    <xf numFmtId="2" fontId="18" fillId="33" borderId="10" xfId="0" applyNumberFormat="1" applyFont="1" applyFill="1" applyBorder="1" applyAlignment="1">
      <alignment horizontal="right"/>
    </xf>
    <xf numFmtId="2" fontId="18" fillId="33" borderId="13" xfId="0" applyNumberFormat="1" applyFont="1" applyFill="1" applyBorder="1" applyAlignment="1">
      <alignment horizontal="right"/>
    </xf>
    <xf numFmtId="0" fontId="1" fillId="31" borderId="29" xfId="40" applyBorder="1" applyAlignment="1">
      <alignment horizontal="center"/>
    </xf>
    <xf numFmtId="0" fontId="1" fillId="32" borderId="23" xfId="41" applyBorder="1" applyAlignment="1">
      <alignment horizontal="center"/>
    </xf>
    <xf numFmtId="0" fontId="1" fillId="32" borderId="25" xfId="41" applyBorder="1" applyAlignment="1">
      <alignment horizontal="center"/>
    </xf>
    <xf numFmtId="0" fontId="1" fillId="31" borderId="30" xfId="40" applyBorder="1" applyAlignment="1">
      <alignment horizontal="center"/>
    </xf>
    <xf numFmtId="0" fontId="1" fillId="30" borderId="0" xfId="39" applyBorder="1"/>
    <xf numFmtId="0" fontId="1" fillId="11" borderId="31" xfId="20" applyBorder="1" applyAlignment="1">
      <alignment horizontal="center"/>
    </xf>
    <xf numFmtId="0" fontId="1" fillId="10" borderId="32" xfId="19" applyBorder="1" applyAlignment="1">
      <alignment horizontal="center"/>
    </xf>
    <xf numFmtId="0" fontId="18" fillId="33" borderId="33" xfId="0" applyFont="1" applyFill="1" applyBorder="1" applyAlignment="1">
      <alignment horizontal="center"/>
    </xf>
    <xf numFmtId="2" fontId="18" fillId="33" borderId="16" xfId="0" applyNumberFormat="1" applyFont="1" applyFill="1" applyBorder="1" applyAlignment="1">
      <alignment horizontal="right"/>
    </xf>
    <xf numFmtId="0" fontId="18" fillId="33" borderId="34" xfId="0" applyFont="1" applyFill="1" applyBorder="1" applyAlignment="1">
      <alignment horizontal="center"/>
    </xf>
    <xf numFmtId="2" fontId="18" fillId="33" borderId="17" xfId="0" applyNumberFormat="1" applyFont="1" applyFill="1" applyBorder="1" applyAlignment="1">
      <alignment horizontal="right"/>
    </xf>
    <xf numFmtId="169" fontId="1" fillId="30" borderId="0" xfId="39" applyNumberFormat="1" applyBorder="1"/>
    <xf numFmtId="169" fontId="1" fillId="30" borderId="10" xfId="39" applyNumberFormat="1" applyBorder="1"/>
    <xf numFmtId="0" fontId="1" fillId="30" borderId="34" xfId="39" applyBorder="1"/>
    <xf numFmtId="169" fontId="1" fillId="30" borderId="12" xfId="39" applyNumberFormat="1" applyBorder="1"/>
    <xf numFmtId="169" fontId="1" fillId="30" borderId="13" xfId="39" applyNumberFormat="1" applyBorder="1"/>
    <xf numFmtId="0" fontId="1" fillId="4" borderId="11" xfId="8" applyFont="1" applyBorder="1"/>
    <xf numFmtId="0" fontId="1" fillId="4" borderId="35" xfId="8" applyFont="1" applyBorder="1"/>
    <xf numFmtId="169" fontId="1" fillId="4" borderId="36" xfId="8" applyNumberFormat="1" applyFont="1" applyBorder="1"/>
    <xf numFmtId="0" fontId="1" fillId="4" borderId="37" xfId="8" applyFont="1" applyBorder="1"/>
    <xf numFmtId="169" fontId="1" fillId="4" borderId="21" xfId="8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FD8D-89F2-7E42-80BC-B6112C4F21C3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14</v>
      </c>
      <c r="B1" t="s">
        <v>1</v>
      </c>
      <c r="C1" t="s">
        <v>2</v>
      </c>
    </row>
    <row r="2" spans="1:3" x14ac:dyDescent="0.2">
      <c r="A2" t="s">
        <v>13</v>
      </c>
      <c r="B2">
        <v>41.1</v>
      </c>
      <c r="C2">
        <v>-97.02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E42E-9855-9E4E-B0E8-58968F490E4E}">
  <dimension ref="A1:E9"/>
  <sheetViews>
    <sheetView workbookViewId="0">
      <selection activeCell="E2" sqref="E2: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35.200000000000003</v>
      </c>
      <c r="C2">
        <v>-98.45</v>
      </c>
      <c r="D2">
        <v>1481.91</v>
      </c>
      <c r="E2">
        <v>-0.06</v>
      </c>
    </row>
    <row r="3" spans="1:5" x14ac:dyDescent="0.2">
      <c r="A3" t="s">
        <v>6</v>
      </c>
      <c r="B3">
        <v>38.15</v>
      </c>
      <c r="C3">
        <v>-106.21</v>
      </c>
      <c r="D3">
        <v>1434.04</v>
      </c>
      <c r="E3">
        <v>-0.06</v>
      </c>
    </row>
    <row r="4" spans="1:5" x14ac:dyDescent="0.2">
      <c r="A4" t="s">
        <v>7</v>
      </c>
      <c r="B4">
        <v>36.72</v>
      </c>
      <c r="C4">
        <v>-93.75</v>
      </c>
      <c r="D4">
        <v>1536.96</v>
      </c>
      <c r="E4">
        <v>-0.08</v>
      </c>
    </row>
    <row r="5" spans="1:5" x14ac:dyDescent="0.2">
      <c r="A5" t="s">
        <v>8</v>
      </c>
      <c r="B5">
        <v>39.92</v>
      </c>
      <c r="C5">
        <v>-116.16</v>
      </c>
      <c r="D5">
        <v>1748.65</v>
      </c>
      <c r="E5">
        <v>0.11</v>
      </c>
    </row>
    <row r="6" spans="1:5" x14ac:dyDescent="0.2">
      <c r="A6" t="s">
        <v>9</v>
      </c>
      <c r="B6">
        <v>43.94</v>
      </c>
      <c r="C6">
        <v>-110.57</v>
      </c>
      <c r="D6">
        <v>2210.11</v>
      </c>
      <c r="E6">
        <v>-0.11</v>
      </c>
    </row>
    <row r="7" spans="1:5" x14ac:dyDescent="0.2">
      <c r="A7" t="s">
        <v>10</v>
      </c>
      <c r="B7">
        <v>39.4</v>
      </c>
      <c r="C7">
        <v>-108.28</v>
      </c>
      <c r="D7">
        <v>2025.84</v>
      </c>
      <c r="E7">
        <v>-0.11</v>
      </c>
    </row>
    <row r="8" spans="1:5" x14ac:dyDescent="0.2">
      <c r="A8" t="s">
        <v>11</v>
      </c>
      <c r="B8">
        <v>44.39</v>
      </c>
      <c r="C8">
        <v>-92.08</v>
      </c>
      <c r="D8">
        <v>1524.44</v>
      </c>
      <c r="E8">
        <v>-0.1</v>
      </c>
    </row>
    <row r="9" spans="1:5" x14ac:dyDescent="0.2">
      <c r="A9" t="s">
        <v>12</v>
      </c>
      <c r="B9">
        <v>40.33</v>
      </c>
      <c r="C9">
        <v>-103.62</v>
      </c>
      <c r="D9">
        <v>1326.79</v>
      </c>
      <c r="E9">
        <v>0.12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0241-EAB3-724A-94DB-4D1926006AE0}">
  <dimension ref="A1:K13"/>
  <sheetViews>
    <sheetView workbookViewId="0">
      <selection activeCell="K4" sqref="K4:K11"/>
    </sheetView>
  </sheetViews>
  <sheetFormatPr baseColWidth="10" defaultRowHeight="16" x14ac:dyDescent="0.2"/>
  <cols>
    <col min="1" max="1" width="19.1640625" customWidth="1"/>
    <col min="6" max="6" width="17.6640625" customWidth="1"/>
    <col min="9" max="9" width="15.5" customWidth="1"/>
  </cols>
  <sheetData>
    <row r="1" spans="1:11" ht="17" thickBot="1" x14ac:dyDescent="0.25"/>
    <row r="2" spans="1:11" ht="17" thickBot="1" x14ac:dyDescent="0.25">
      <c r="A2" s="1"/>
      <c r="B2" s="2" t="s">
        <v>21</v>
      </c>
      <c r="C2" s="3"/>
      <c r="D2" s="2" t="s">
        <v>17</v>
      </c>
      <c r="E2" s="2"/>
      <c r="F2" s="3"/>
      <c r="G2" s="2" t="s">
        <v>22</v>
      </c>
      <c r="H2" s="2"/>
      <c r="I2" s="3"/>
      <c r="J2" s="2" t="s">
        <v>24</v>
      </c>
      <c r="K2" s="4"/>
    </row>
    <row r="3" spans="1:11" ht="17" thickTop="1" x14ac:dyDescent="0.2">
      <c r="A3" s="16" t="s">
        <v>25</v>
      </c>
      <c r="B3" s="17" t="s">
        <v>15</v>
      </c>
      <c r="C3" s="18" t="s">
        <v>16</v>
      </c>
      <c r="D3" s="17" t="s">
        <v>15</v>
      </c>
      <c r="E3" s="17" t="s">
        <v>16</v>
      </c>
      <c r="F3" s="18" t="s">
        <v>23</v>
      </c>
      <c r="G3" s="17" t="s">
        <v>15</v>
      </c>
      <c r="H3" s="17" t="s">
        <v>16</v>
      </c>
      <c r="I3" s="18" t="s">
        <v>18</v>
      </c>
      <c r="J3" s="17" t="s">
        <v>19</v>
      </c>
      <c r="K3" s="19" t="s">
        <v>20</v>
      </c>
    </row>
    <row r="4" spans="1:11" x14ac:dyDescent="0.2">
      <c r="A4" s="5" t="s">
        <v>5</v>
      </c>
      <c r="B4" s="8">
        <v>35.200000000000003</v>
      </c>
      <c r="C4" s="9">
        <v>-98.45</v>
      </c>
      <c r="D4" s="10">
        <v>41.1</v>
      </c>
      <c r="E4" s="10">
        <v>-97.02</v>
      </c>
      <c r="F4" s="11">
        <f>SQRT((D4-B4)^2+(E4-C4)^2)</f>
        <v>6.0708236673453131</v>
      </c>
      <c r="G4" s="20">
        <f>$G$13</f>
        <v>39.756250000000001</v>
      </c>
      <c r="H4" s="21">
        <f>$H$13</f>
        <v>-103.63999999999999</v>
      </c>
      <c r="I4" s="22">
        <f>SQRT((G4-B4)^2+(H4-C4)^2)</f>
        <v>6.9061938911747776</v>
      </c>
      <c r="J4" s="21" t="b">
        <f>I4&gt;F4</f>
        <v>1</v>
      </c>
      <c r="K4" s="33">
        <f>MIN(I4,F4)</f>
        <v>6.0708236673453131</v>
      </c>
    </row>
    <row r="5" spans="1:11" x14ac:dyDescent="0.2">
      <c r="A5" s="5" t="s">
        <v>6</v>
      </c>
      <c r="B5" s="8">
        <v>38.15</v>
      </c>
      <c r="C5" s="9">
        <v>-106.21</v>
      </c>
      <c r="D5" s="10">
        <v>41.1</v>
      </c>
      <c r="E5" s="10">
        <v>-97.02</v>
      </c>
      <c r="F5" s="11">
        <f t="shared" ref="F5:F11" si="0">SQRT((D5-B5)^2+(E5-C5)^2)</f>
        <v>9.6518702850794664</v>
      </c>
      <c r="G5" s="20">
        <f t="shared" ref="G5:G11" si="1">$G$13</f>
        <v>39.756250000000001</v>
      </c>
      <c r="H5" s="21">
        <f t="shared" ref="H5:H11" si="2">$H$13</f>
        <v>-103.63999999999999</v>
      </c>
      <c r="I5" s="22">
        <f t="shared" ref="I5:I11" si="3">SQRT((G5-B5)^2+(H5-C5)^2)</f>
        <v>3.0306664386731916</v>
      </c>
      <c r="J5" s="21" t="b">
        <f t="shared" ref="J5:J11" si="4">I5&gt;F5</f>
        <v>0</v>
      </c>
      <c r="K5" s="33">
        <f t="shared" ref="K5:K11" si="5">MIN(I5,F5)</f>
        <v>3.0306664386731916</v>
      </c>
    </row>
    <row r="6" spans="1:11" x14ac:dyDescent="0.2">
      <c r="A6" s="5" t="s">
        <v>7</v>
      </c>
      <c r="B6" s="8">
        <v>36.72</v>
      </c>
      <c r="C6" s="9">
        <v>-93.75</v>
      </c>
      <c r="D6" s="10">
        <v>41.1</v>
      </c>
      <c r="E6" s="10">
        <v>-97.02</v>
      </c>
      <c r="F6" s="11">
        <f t="shared" si="0"/>
        <v>5.4660131723222181</v>
      </c>
      <c r="G6" s="20">
        <f t="shared" si="1"/>
        <v>39.756250000000001</v>
      </c>
      <c r="H6" s="21">
        <f t="shared" si="2"/>
        <v>-103.63999999999999</v>
      </c>
      <c r="I6" s="22">
        <f t="shared" si="3"/>
        <v>10.345574612485271</v>
      </c>
      <c r="J6" s="21" t="b">
        <f t="shared" si="4"/>
        <v>1</v>
      </c>
      <c r="K6" s="33">
        <f t="shared" si="5"/>
        <v>5.4660131723222181</v>
      </c>
    </row>
    <row r="7" spans="1:11" x14ac:dyDescent="0.2">
      <c r="A7" s="5" t="s">
        <v>8</v>
      </c>
      <c r="B7" s="8">
        <v>39.92</v>
      </c>
      <c r="C7" s="9">
        <v>-116.16</v>
      </c>
      <c r="D7" s="10">
        <v>41.1</v>
      </c>
      <c r="E7" s="10">
        <v>-97.02</v>
      </c>
      <c r="F7" s="11">
        <f t="shared" si="0"/>
        <v>19.176339588148725</v>
      </c>
      <c r="G7" s="20">
        <f t="shared" si="1"/>
        <v>39.756250000000001</v>
      </c>
      <c r="H7" s="21">
        <f t="shared" si="2"/>
        <v>-103.63999999999999</v>
      </c>
      <c r="I7" s="22">
        <f t="shared" si="3"/>
        <v>12.521070803349858</v>
      </c>
      <c r="J7" s="21" t="b">
        <f t="shared" si="4"/>
        <v>0</v>
      </c>
      <c r="K7" s="33">
        <f t="shared" si="5"/>
        <v>12.521070803349858</v>
      </c>
    </row>
    <row r="8" spans="1:11" x14ac:dyDescent="0.2">
      <c r="A8" s="5" t="s">
        <v>9</v>
      </c>
      <c r="B8" s="8">
        <v>43.94</v>
      </c>
      <c r="C8" s="9">
        <v>-110.57</v>
      </c>
      <c r="D8" s="10">
        <v>41.1</v>
      </c>
      <c r="E8" s="10">
        <v>-97.02</v>
      </c>
      <c r="F8" s="11">
        <f t="shared" si="0"/>
        <v>13.844424870683502</v>
      </c>
      <c r="G8" s="20">
        <f t="shared" si="1"/>
        <v>39.756250000000001</v>
      </c>
      <c r="H8" s="21">
        <f t="shared" si="2"/>
        <v>-103.63999999999999</v>
      </c>
      <c r="I8" s="22">
        <f t="shared" si="3"/>
        <v>8.0949777061150741</v>
      </c>
      <c r="J8" s="21" t="b">
        <f t="shared" si="4"/>
        <v>0</v>
      </c>
      <c r="K8" s="33">
        <f t="shared" si="5"/>
        <v>8.0949777061150741</v>
      </c>
    </row>
    <row r="9" spans="1:11" x14ac:dyDescent="0.2">
      <c r="A9" s="5" t="s">
        <v>10</v>
      </c>
      <c r="B9" s="8">
        <v>39.4</v>
      </c>
      <c r="C9" s="9">
        <v>-108.28</v>
      </c>
      <c r="D9" s="10">
        <v>41.1</v>
      </c>
      <c r="E9" s="10">
        <v>-97.02</v>
      </c>
      <c r="F9" s="11">
        <f t="shared" si="0"/>
        <v>11.387607299165182</v>
      </c>
      <c r="G9" s="20">
        <f t="shared" si="1"/>
        <v>39.756250000000001</v>
      </c>
      <c r="H9" s="21">
        <f t="shared" si="2"/>
        <v>-103.63999999999999</v>
      </c>
      <c r="I9" s="22">
        <f t="shared" si="3"/>
        <v>4.6536559888436253</v>
      </c>
      <c r="J9" s="21" t="b">
        <f t="shared" si="4"/>
        <v>0</v>
      </c>
      <c r="K9" s="33">
        <f t="shared" si="5"/>
        <v>4.6536559888436253</v>
      </c>
    </row>
    <row r="10" spans="1:11" x14ac:dyDescent="0.2">
      <c r="A10" s="5" t="s">
        <v>11</v>
      </c>
      <c r="B10" s="8">
        <v>44.39</v>
      </c>
      <c r="C10" s="9">
        <v>-92.08</v>
      </c>
      <c r="D10" s="10">
        <v>41.1</v>
      </c>
      <c r="E10" s="10">
        <v>-97.02</v>
      </c>
      <c r="F10" s="11">
        <f t="shared" si="0"/>
        <v>5.9352927476241613</v>
      </c>
      <c r="G10" s="20">
        <f t="shared" si="1"/>
        <v>39.756250000000001</v>
      </c>
      <c r="H10" s="21">
        <f t="shared" si="2"/>
        <v>-103.63999999999999</v>
      </c>
      <c r="I10" s="22">
        <f t="shared" si="3"/>
        <v>12.454125383281626</v>
      </c>
      <c r="J10" s="21" t="b">
        <f t="shared" si="4"/>
        <v>1</v>
      </c>
      <c r="K10" s="33">
        <f t="shared" si="5"/>
        <v>5.9352927476241613</v>
      </c>
    </row>
    <row r="11" spans="1:11" ht="17" thickBot="1" x14ac:dyDescent="0.25">
      <c r="A11" s="6" t="s">
        <v>12</v>
      </c>
      <c r="B11" s="12">
        <v>40.33</v>
      </c>
      <c r="C11" s="13">
        <v>-103.62</v>
      </c>
      <c r="D11" s="14">
        <v>41.1</v>
      </c>
      <c r="E11" s="14">
        <v>-97.02</v>
      </c>
      <c r="F11" s="15">
        <f t="shared" si="0"/>
        <v>6.64476485663715</v>
      </c>
      <c r="G11" s="23">
        <f t="shared" si="1"/>
        <v>39.756250000000001</v>
      </c>
      <c r="H11" s="24">
        <f t="shared" si="2"/>
        <v>-103.63999999999999</v>
      </c>
      <c r="I11" s="25">
        <f t="shared" si="3"/>
        <v>0.57409847805058301</v>
      </c>
      <c r="J11" s="24" t="b">
        <f t="shared" si="4"/>
        <v>0</v>
      </c>
      <c r="K11" s="34">
        <f t="shared" si="5"/>
        <v>0.57409847805058301</v>
      </c>
    </row>
    <row r="12" spans="1:11" ht="17" thickBot="1" x14ac:dyDescent="0.25"/>
    <row r="13" spans="1:11" ht="17" thickBot="1" x14ac:dyDescent="0.25">
      <c r="B13" s="26" t="s">
        <v>26</v>
      </c>
      <c r="C13" s="29">
        <f>SUM($K$4:$K$11)</f>
        <v>46.34659900232402</v>
      </c>
      <c r="F13" s="26" t="s">
        <v>27</v>
      </c>
      <c r="G13" s="27">
        <f>AVERAGE($B$4:$B$11)</f>
        <v>39.756250000000001</v>
      </c>
      <c r="H13" s="28">
        <f>AVERAGE($C$4:$C$11)</f>
        <v>-103.63999999999999</v>
      </c>
    </row>
  </sheetData>
  <mergeCells count="4">
    <mergeCell ref="B2:C2"/>
    <mergeCell ref="D2:F2"/>
    <mergeCell ref="G2:I2"/>
    <mergeCell ref="J2:K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121-3C67-A548-997B-28F9410F5494}">
  <dimension ref="A1:K13"/>
  <sheetViews>
    <sheetView tabSelected="1" workbookViewId="0">
      <selection activeCell="I26" sqref="I26"/>
    </sheetView>
  </sheetViews>
  <sheetFormatPr baseColWidth="10" defaultRowHeight="16" x14ac:dyDescent="0.2"/>
  <cols>
    <col min="1" max="1" width="19.1640625" customWidth="1"/>
    <col min="6" max="6" width="17.6640625" customWidth="1"/>
    <col min="9" max="9" width="15.5" customWidth="1"/>
  </cols>
  <sheetData>
    <row r="1" spans="1:11" ht="17" thickBot="1" x14ac:dyDescent="0.25"/>
    <row r="2" spans="1:11" ht="17" thickBot="1" x14ac:dyDescent="0.25">
      <c r="A2" s="1"/>
      <c r="B2" s="2" t="s">
        <v>21</v>
      </c>
      <c r="C2" s="3"/>
      <c r="D2" s="2" t="s">
        <v>17</v>
      </c>
      <c r="E2" s="2"/>
      <c r="F2" s="3"/>
      <c r="G2" s="2" t="s">
        <v>22</v>
      </c>
      <c r="H2" s="2"/>
      <c r="I2" s="3"/>
      <c r="J2" s="2" t="s">
        <v>24</v>
      </c>
      <c r="K2" s="4"/>
    </row>
    <row r="3" spans="1:11" ht="17" thickTop="1" x14ac:dyDescent="0.2">
      <c r="A3" s="16" t="s">
        <v>25</v>
      </c>
      <c r="B3" s="17" t="s">
        <v>15</v>
      </c>
      <c r="C3" s="18" t="s">
        <v>16</v>
      </c>
      <c r="D3" s="17" t="s">
        <v>15</v>
      </c>
      <c r="E3" s="17" t="s">
        <v>16</v>
      </c>
      <c r="F3" s="18" t="s">
        <v>23</v>
      </c>
      <c r="G3" s="17" t="s">
        <v>15</v>
      </c>
      <c r="H3" s="17" t="s">
        <v>16</v>
      </c>
      <c r="I3" s="18" t="s">
        <v>18</v>
      </c>
      <c r="J3" s="17" t="s">
        <v>19</v>
      </c>
      <c r="K3" s="19" t="s">
        <v>20</v>
      </c>
    </row>
    <row r="4" spans="1:11" x14ac:dyDescent="0.2">
      <c r="A4" s="5" t="s">
        <v>5</v>
      </c>
      <c r="B4" s="8">
        <v>35.200000000000003</v>
      </c>
      <c r="C4" s="9">
        <v>-98.45</v>
      </c>
      <c r="D4" s="10">
        <v>41.1</v>
      </c>
      <c r="E4" s="10">
        <v>-97.02</v>
      </c>
      <c r="F4" s="11">
        <f>SQRT((D4-B4)^2+(E4-C4)^2)</f>
        <v>6.0708236673453131</v>
      </c>
      <c r="G4" s="20">
        <f>$G$13</f>
        <v>39.400056921013743</v>
      </c>
      <c r="H4" s="31">
        <f>$H$13</f>
        <v>-108.2800180796219</v>
      </c>
      <c r="I4" s="22">
        <f>SQRT((G4-B4)^2+(H4-C4)^2)</f>
        <v>10.689702221551764</v>
      </c>
      <c r="J4" s="21" t="b">
        <f>I4&gt;F4</f>
        <v>1</v>
      </c>
      <c r="K4" s="33">
        <f>MIN(I4,F4)</f>
        <v>6.0708236673453131</v>
      </c>
    </row>
    <row r="5" spans="1:11" x14ac:dyDescent="0.2">
      <c r="A5" s="5" t="s">
        <v>6</v>
      </c>
      <c r="B5" s="8">
        <v>38.15</v>
      </c>
      <c r="C5" s="9">
        <v>-106.21</v>
      </c>
      <c r="D5" s="10">
        <v>41.1</v>
      </c>
      <c r="E5" s="10">
        <v>-97.02</v>
      </c>
      <c r="F5" s="11">
        <f t="shared" ref="F5:F11" si="0">SQRT((D5-B5)^2+(E5-C5)^2)</f>
        <v>9.6518702850794664</v>
      </c>
      <c r="G5" s="20">
        <f t="shared" ref="G5:G11" si="1">$G$13</f>
        <v>39.400056921013743</v>
      </c>
      <c r="H5" s="31">
        <f t="shared" ref="H5:H11" si="2">$H$13</f>
        <v>-108.2800180796219</v>
      </c>
      <c r="I5" s="22">
        <f t="shared" ref="I5:I11" si="3">SQRT((G5-B5)^2+(H5-C5)^2)</f>
        <v>2.4181846818917521</v>
      </c>
      <c r="J5" s="21" t="b">
        <f t="shared" ref="J5:J11" si="4">I5&gt;F5</f>
        <v>0</v>
      </c>
      <c r="K5" s="33">
        <f t="shared" ref="K5:K11" si="5">MIN(I5,F5)</f>
        <v>2.4181846818917521</v>
      </c>
    </row>
    <row r="6" spans="1:11" x14ac:dyDescent="0.2">
      <c r="A6" s="5" t="s">
        <v>7</v>
      </c>
      <c r="B6" s="8">
        <v>36.72</v>
      </c>
      <c r="C6" s="9">
        <v>-93.75</v>
      </c>
      <c r="D6" s="10">
        <v>41.1</v>
      </c>
      <c r="E6" s="10">
        <v>-97.02</v>
      </c>
      <c r="F6" s="11">
        <f t="shared" si="0"/>
        <v>5.4660131723222181</v>
      </c>
      <c r="G6" s="20">
        <f t="shared" si="1"/>
        <v>39.400056921013743</v>
      </c>
      <c r="H6" s="31">
        <f t="shared" si="2"/>
        <v>-108.2800180796219</v>
      </c>
      <c r="I6" s="22">
        <f t="shared" si="3"/>
        <v>14.775118628762776</v>
      </c>
      <c r="J6" s="21" t="b">
        <f t="shared" si="4"/>
        <v>1</v>
      </c>
      <c r="K6" s="33">
        <f t="shared" si="5"/>
        <v>5.4660131723222181</v>
      </c>
    </row>
    <row r="7" spans="1:11" x14ac:dyDescent="0.2">
      <c r="A7" s="5" t="s">
        <v>8</v>
      </c>
      <c r="B7" s="8">
        <v>39.92</v>
      </c>
      <c r="C7" s="9">
        <v>-116.16</v>
      </c>
      <c r="D7" s="10">
        <v>41.1</v>
      </c>
      <c r="E7" s="10">
        <v>-97.02</v>
      </c>
      <c r="F7" s="11">
        <f t="shared" si="0"/>
        <v>19.176339588148725</v>
      </c>
      <c r="G7" s="20">
        <f t="shared" si="1"/>
        <v>39.400056921013743</v>
      </c>
      <c r="H7" s="31">
        <f t="shared" si="2"/>
        <v>-108.2800180796219</v>
      </c>
      <c r="I7" s="22">
        <f t="shared" si="3"/>
        <v>7.8971169341014216</v>
      </c>
      <c r="J7" s="21" t="b">
        <f t="shared" si="4"/>
        <v>0</v>
      </c>
      <c r="K7" s="33">
        <f t="shared" si="5"/>
        <v>7.8971169341014216</v>
      </c>
    </row>
    <row r="8" spans="1:11" x14ac:dyDescent="0.2">
      <c r="A8" s="5" t="s">
        <v>9</v>
      </c>
      <c r="B8" s="8">
        <v>43.94</v>
      </c>
      <c r="C8" s="9">
        <v>-110.57</v>
      </c>
      <c r="D8" s="10">
        <v>41.1</v>
      </c>
      <c r="E8" s="10">
        <v>-97.02</v>
      </c>
      <c r="F8" s="11">
        <f t="shared" si="0"/>
        <v>13.844424870683502</v>
      </c>
      <c r="G8" s="20">
        <f t="shared" si="1"/>
        <v>39.400056921013743</v>
      </c>
      <c r="H8" s="31">
        <f t="shared" si="2"/>
        <v>-108.2800180796219</v>
      </c>
      <c r="I8" s="22">
        <f t="shared" si="3"/>
        <v>5.0847910828365164</v>
      </c>
      <c r="J8" s="21" t="b">
        <f t="shared" si="4"/>
        <v>0</v>
      </c>
      <c r="K8" s="33">
        <f t="shared" si="5"/>
        <v>5.0847910828365164</v>
      </c>
    </row>
    <row r="9" spans="1:11" x14ac:dyDescent="0.2">
      <c r="A9" s="5" t="s">
        <v>10</v>
      </c>
      <c r="B9" s="8">
        <v>39.4</v>
      </c>
      <c r="C9" s="9">
        <v>-108.28</v>
      </c>
      <c r="D9" s="10">
        <v>41.1</v>
      </c>
      <c r="E9" s="10">
        <v>-97.02</v>
      </c>
      <c r="F9" s="11">
        <f t="shared" si="0"/>
        <v>11.387607299165182</v>
      </c>
      <c r="G9" s="20">
        <f t="shared" si="1"/>
        <v>39.400056921013743</v>
      </c>
      <c r="H9" s="31">
        <f t="shared" si="2"/>
        <v>-108.2800180796219</v>
      </c>
      <c r="I9" s="22">
        <f t="shared" si="3"/>
        <v>5.9723316498306124E-5</v>
      </c>
      <c r="J9" s="21" t="b">
        <f t="shared" si="4"/>
        <v>0</v>
      </c>
      <c r="K9" s="33">
        <f t="shared" si="5"/>
        <v>5.9723316498306124E-5</v>
      </c>
    </row>
    <row r="10" spans="1:11" x14ac:dyDescent="0.2">
      <c r="A10" s="5" t="s">
        <v>11</v>
      </c>
      <c r="B10" s="8">
        <v>44.39</v>
      </c>
      <c r="C10" s="9">
        <v>-92.08</v>
      </c>
      <c r="D10" s="10">
        <v>41.1</v>
      </c>
      <c r="E10" s="10">
        <v>-97.02</v>
      </c>
      <c r="F10" s="11">
        <f t="shared" si="0"/>
        <v>5.9352927476241613</v>
      </c>
      <c r="G10" s="20">
        <f t="shared" si="1"/>
        <v>39.400056921013743</v>
      </c>
      <c r="H10" s="31">
        <f t="shared" si="2"/>
        <v>-108.2800180796219</v>
      </c>
      <c r="I10" s="22">
        <f t="shared" si="3"/>
        <v>16.951109630687874</v>
      </c>
      <c r="J10" s="21" t="b">
        <f t="shared" si="4"/>
        <v>1</v>
      </c>
      <c r="K10" s="33">
        <f t="shared" si="5"/>
        <v>5.9352927476241613</v>
      </c>
    </row>
    <row r="11" spans="1:11" ht="17" thickBot="1" x14ac:dyDescent="0.25">
      <c r="A11" s="6" t="s">
        <v>12</v>
      </c>
      <c r="B11" s="12">
        <v>40.33</v>
      </c>
      <c r="C11" s="13">
        <v>-103.62</v>
      </c>
      <c r="D11" s="14">
        <v>41.1</v>
      </c>
      <c r="E11" s="14">
        <v>-97.02</v>
      </c>
      <c r="F11" s="15">
        <f t="shared" si="0"/>
        <v>6.64476485663715</v>
      </c>
      <c r="G11" s="23">
        <f t="shared" si="1"/>
        <v>39.400056921013743</v>
      </c>
      <c r="H11" s="32">
        <f t="shared" si="2"/>
        <v>-108.2800180796219</v>
      </c>
      <c r="I11" s="25">
        <f t="shared" si="3"/>
        <v>4.751900949363038</v>
      </c>
      <c r="J11" s="24" t="b">
        <f t="shared" si="4"/>
        <v>0</v>
      </c>
      <c r="K11" s="34">
        <f t="shared" si="5"/>
        <v>4.751900949363038</v>
      </c>
    </row>
    <row r="12" spans="1:11" ht="17" thickBot="1" x14ac:dyDescent="0.25"/>
    <row r="13" spans="1:11" ht="17" thickBot="1" x14ac:dyDescent="0.25">
      <c r="B13" s="26" t="s">
        <v>26</v>
      </c>
      <c r="C13" s="29">
        <f>SUM($K$4:$K$11)</f>
        <v>37.624182958800922</v>
      </c>
      <c r="F13" s="26" t="s">
        <v>27</v>
      </c>
      <c r="G13" s="27">
        <v>39.400056921013743</v>
      </c>
      <c r="H13" s="30">
        <v>-108.2800180796219</v>
      </c>
    </row>
  </sheetData>
  <mergeCells count="4">
    <mergeCell ref="B2:C2"/>
    <mergeCell ref="D2:F2"/>
    <mergeCell ref="G2:I2"/>
    <mergeCell ref="J2:K2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E868-C5D2-0043-9600-64D9D0D7E619}">
  <dimension ref="A1:Q15"/>
  <sheetViews>
    <sheetView zoomScale="87" workbookViewId="0">
      <selection activeCell="C13" sqref="C13"/>
    </sheetView>
  </sheetViews>
  <sheetFormatPr baseColWidth="10" defaultRowHeight="16" x14ac:dyDescent="0.2"/>
  <cols>
    <col min="1" max="1" width="19.1640625" customWidth="1"/>
    <col min="6" max="6" width="17.6640625" customWidth="1"/>
    <col min="9" max="9" width="15.5" customWidth="1"/>
  </cols>
  <sheetData>
    <row r="1" spans="1:17" ht="17" thickBot="1" x14ac:dyDescent="0.25"/>
    <row r="2" spans="1:17" ht="17" thickBot="1" x14ac:dyDescent="0.25">
      <c r="A2" s="1"/>
      <c r="B2" s="2" t="s">
        <v>21</v>
      </c>
      <c r="C2" s="3"/>
      <c r="D2" s="2" t="s">
        <v>17</v>
      </c>
      <c r="E2" s="2"/>
      <c r="F2" s="3"/>
      <c r="G2" s="2" t="s">
        <v>22</v>
      </c>
      <c r="H2" s="2"/>
      <c r="I2" s="3"/>
      <c r="J2" s="40" t="s">
        <v>24</v>
      </c>
      <c r="K2" s="3"/>
      <c r="L2" s="36" t="s">
        <v>28</v>
      </c>
      <c r="M2" s="36"/>
      <c r="N2" s="37"/>
    </row>
    <row r="3" spans="1:17" ht="17" thickTop="1" x14ac:dyDescent="0.2">
      <c r="A3" s="16" t="s">
        <v>25</v>
      </c>
      <c r="B3" s="17" t="s">
        <v>15</v>
      </c>
      <c r="C3" s="18" t="s">
        <v>16</v>
      </c>
      <c r="D3" s="17" t="s">
        <v>15</v>
      </c>
      <c r="E3" s="17" t="s">
        <v>16</v>
      </c>
      <c r="F3" s="18" t="s">
        <v>23</v>
      </c>
      <c r="G3" s="17" t="s">
        <v>15</v>
      </c>
      <c r="H3" s="17" t="s">
        <v>16</v>
      </c>
      <c r="I3" s="18" t="s">
        <v>18</v>
      </c>
      <c r="J3" s="41" t="s">
        <v>19</v>
      </c>
      <c r="K3" s="18" t="s">
        <v>20</v>
      </c>
      <c r="L3" s="35" t="s">
        <v>29</v>
      </c>
      <c r="M3" s="35" t="s">
        <v>30</v>
      </c>
      <c r="N3" s="38" t="s">
        <v>31</v>
      </c>
    </row>
    <row r="4" spans="1:17" x14ac:dyDescent="0.2">
      <c r="A4" s="5" t="s">
        <v>5</v>
      </c>
      <c r="B4" s="8">
        <v>35.200000000000003</v>
      </c>
      <c r="C4" s="9">
        <v>-98.45</v>
      </c>
      <c r="D4" s="10">
        <v>41.1</v>
      </c>
      <c r="E4" s="10">
        <v>-97.02</v>
      </c>
      <c r="F4" s="11">
        <f>SQRT((D4-B4)^2+(E4-C4)^2)</f>
        <v>6.0708236673453131</v>
      </c>
      <c r="G4" s="20">
        <f>$G$13</f>
        <v>40.092629079697048</v>
      </c>
      <c r="H4" s="20">
        <f>$H$13</f>
        <v>-115.85870161120678</v>
      </c>
      <c r="I4" s="22">
        <f>SQRT((G4-B4)^2+(H4-C4)^2)</f>
        <v>18.083160981961388</v>
      </c>
      <c r="J4" s="42" t="b">
        <f>I4&gt;F4</f>
        <v>1</v>
      </c>
      <c r="K4" s="43">
        <f>MIN(I4,F4)</f>
        <v>6.0708236673453131</v>
      </c>
      <c r="L4" s="39">
        <v>1481.91</v>
      </c>
      <c r="M4" s="46">
        <f>L4*(1+Q4)</f>
        <v>1392.9954</v>
      </c>
      <c r="N4" s="47">
        <f>L4-M4</f>
        <v>88.914600000000064</v>
      </c>
      <c r="Q4">
        <v>-0.06</v>
      </c>
    </row>
    <row r="5" spans="1:17" x14ac:dyDescent="0.2">
      <c r="A5" s="5" t="s">
        <v>6</v>
      </c>
      <c r="B5" s="8">
        <v>38.15</v>
      </c>
      <c r="C5" s="9">
        <v>-106.21</v>
      </c>
      <c r="D5" s="10">
        <v>41.1</v>
      </c>
      <c r="E5" s="10">
        <v>-97.02</v>
      </c>
      <c r="F5" s="11">
        <f t="shared" ref="F5:F11" si="0">SQRT((D5-B5)^2+(E5-C5)^2)</f>
        <v>9.6518702850794664</v>
      </c>
      <c r="G5" s="20">
        <f t="shared" ref="G5:G11" si="1">$G$13</f>
        <v>40.092629079697048</v>
      </c>
      <c r="H5" s="20">
        <f t="shared" ref="H5:H11" si="2">$H$13</f>
        <v>-115.85870161120678</v>
      </c>
      <c r="I5" s="22">
        <f t="shared" ref="I5:I11" si="3">SQRT((G5-B5)^2+(H5-C5)^2)</f>
        <v>9.8423193670693845</v>
      </c>
      <c r="J5" s="42" t="b">
        <f t="shared" ref="J5:J11" si="4">I5&gt;F5</f>
        <v>1</v>
      </c>
      <c r="K5" s="43">
        <f t="shared" ref="K5:K11" si="5">MIN(I5,F5)</f>
        <v>9.6518702850794664</v>
      </c>
      <c r="L5" s="39">
        <v>1434.04</v>
      </c>
      <c r="M5" s="46">
        <f t="shared" ref="M5:M11" si="6">L5*(1+Q5)</f>
        <v>1347.9975999999999</v>
      </c>
      <c r="N5" s="47">
        <f t="shared" ref="N5:N11" si="7">L5-M5</f>
        <v>86.042400000000043</v>
      </c>
      <c r="Q5">
        <v>-0.06</v>
      </c>
    </row>
    <row r="6" spans="1:17" x14ac:dyDescent="0.2">
      <c r="A6" s="5" t="s">
        <v>7</v>
      </c>
      <c r="B6" s="8">
        <v>36.72</v>
      </c>
      <c r="C6" s="9">
        <v>-93.75</v>
      </c>
      <c r="D6" s="10">
        <v>41.1</v>
      </c>
      <c r="E6" s="10">
        <v>-97.02</v>
      </c>
      <c r="F6" s="11">
        <f t="shared" si="0"/>
        <v>5.4660131723222181</v>
      </c>
      <c r="G6" s="20">
        <f t="shared" si="1"/>
        <v>40.092629079697048</v>
      </c>
      <c r="H6" s="20">
        <f t="shared" si="2"/>
        <v>-115.85870161120678</v>
      </c>
      <c r="I6" s="22">
        <f t="shared" si="3"/>
        <v>22.364465427159121</v>
      </c>
      <c r="J6" s="42" t="b">
        <f t="shared" si="4"/>
        <v>1</v>
      </c>
      <c r="K6" s="43">
        <f t="shared" si="5"/>
        <v>5.4660131723222181</v>
      </c>
      <c r="L6" s="39">
        <v>1536.96</v>
      </c>
      <c r="M6" s="46">
        <f t="shared" si="6"/>
        <v>1414.0032000000001</v>
      </c>
      <c r="N6" s="47">
        <f t="shared" si="7"/>
        <v>122.95679999999993</v>
      </c>
      <c r="Q6">
        <v>-0.08</v>
      </c>
    </row>
    <row r="7" spans="1:17" x14ac:dyDescent="0.2">
      <c r="A7" s="5" t="s">
        <v>8</v>
      </c>
      <c r="B7" s="8">
        <v>39.92</v>
      </c>
      <c r="C7" s="9">
        <v>-116.16</v>
      </c>
      <c r="D7" s="10">
        <v>41.1</v>
      </c>
      <c r="E7" s="10">
        <v>-97.02</v>
      </c>
      <c r="F7" s="11">
        <f t="shared" si="0"/>
        <v>19.176339588148725</v>
      </c>
      <c r="G7" s="20">
        <f t="shared" si="1"/>
        <v>40.092629079697048</v>
      </c>
      <c r="H7" s="20">
        <f t="shared" si="2"/>
        <v>-115.85870161120678</v>
      </c>
      <c r="I7" s="22">
        <f t="shared" si="3"/>
        <v>0.34724849639190036</v>
      </c>
      <c r="J7" s="42" t="b">
        <f t="shared" si="4"/>
        <v>0</v>
      </c>
      <c r="K7" s="43">
        <f t="shared" si="5"/>
        <v>0.34724849639190036</v>
      </c>
      <c r="L7" s="39">
        <v>1748.65</v>
      </c>
      <c r="M7" s="46">
        <f t="shared" si="6"/>
        <v>1941.0015000000003</v>
      </c>
      <c r="N7" s="47">
        <f t="shared" si="7"/>
        <v>-192.35150000000021</v>
      </c>
      <c r="Q7">
        <v>0.11</v>
      </c>
    </row>
    <row r="8" spans="1:17" x14ac:dyDescent="0.2">
      <c r="A8" s="5" t="s">
        <v>9</v>
      </c>
      <c r="B8" s="8">
        <v>43.94</v>
      </c>
      <c r="C8" s="9">
        <v>-110.57</v>
      </c>
      <c r="D8" s="10">
        <v>41.1</v>
      </c>
      <c r="E8" s="10">
        <v>-97.02</v>
      </c>
      <c r="F8" s="11">
        <f t="shared" si="0"/>
        <v>13.844424870683502</v>
      </c>
      <c r="G8" s="20">
        <f t="shared" si="1"/>
        <v>40.092629079697048</v>
      </c>
      <c r="H8" s="20">
        <f t="shared" si="2"/>
        <v>-115.85870161120678</v>
      </c>
      <c r="I8" s="22">
        <f t="shared" si="3"/>
        <v>6.540078572217161</v>
      </c>
      <c r="J8" s="42" t="b">
        <f t="shared" si="4"/>
        <v>0</v>
      </c>
      <c r="K8" s="43">
        <f t="shared" si="5"/>
        <v>6.540078572217161</v>
      </c>
      <c r="L8" s="39">
        <v>2210.11</v>
      </c>
      <c r="M8" s="46">
        <f t="shared" si="6"/>
        <v>1966.9979000000001</v>
      </c>
      <c r="N8" s="47">
        <f t="shared" si="7"/>
        <v>243.11210000000005</v>
      </c>
      <c r="Q8">
        <v>-0.11</v>
      </c>
    </row>
    <row r="9" spans="1:17" x14ac:dyDescent="0.2">
      <c r="A9" s="5" t="s">
        <v>10</v>
      </c>
      <c r="B9" s="8">
        <v>39.4</v>
      </c>
      <c r="C9" s="9">
        <v>-108.28</v>
      </c>
      <c r="D9" s="10">
        <v>41.1</v>
      </c>
      <c r="E9" s="10">
        <v>-97.02</v>
      </c>
      <c r="F9" s="11">
        <f t="shared" si="0"/>
        <v>11.387607299165182</v>
      </c>
      <c r="G9" s="20">
        <f t="shared" si="1"/>
        <v>40.092629079697048</v>
      </c>
      <c r="H9" s="20">
        <f t="shared" si="2"/>
        <v>-115.85870161120678</v>
      </c>
      <c r="I9" s="22">
        <f t="shared" si="3"/>
        <v>7.6102860099834784</v>
      </c>
      <c r="J9" s="42" t="b">
        <f t="shared" si="4"/>
        <v>0</v>
      </c>
      <c r="K9" s="43">
        <f t="shared" si="5"/>
        <v>7.6102860099834784</v>
      </c>
      <c r="L9" s="39">
        <v>2025.84</v>
      </c>
      <c r="M9" s="46">
        <f t="shared" si="6"/>
        <v>1802.9975999999999</v>
      </c>
      <c r="N9" s="47">
        <f t="shared" si="7"/>
        <v>222.8424</v>
      </c>
      <c r="Q9">
        <v>-0.11</v>
      </c>
    </row>
    <row r="10" spans="1:17" x14ac:dyDescent="0.2">
      <c r="A10" s="5" t="s">
        <v>11</v>
      </c>
      <c r="B10" s="8">
        <v>44.39</v>
      </c>
      <c r="C10" s="9">
        <v>-92.08</v>
      </c>
      <c r="D10" s="10">
        <v>41.1</v>
      </c>
      <c r="E10" s="10">
        <v>-97.02</v>
      </c>
      <c r="F10" s="11">
        <f t="shared" si="0"/>
        <v>5.9352927476241613</v>
      </c>
      <c r="G10" s="20">
        <f t="shared" si="1"/>
        <v>40.092629079697048</v>
      </c>
      <c r="H10" s="20">
        <f t="shared" si="2"/>
        <v>-115.85870161120678</v>
      </c>
      <c r="I10" s="22">
        <f t="shared" si="3"/>
        <v>24.163899667509664</v>
      </c>
      <c r="J10" s="42" t="b">
        <f t="shared" si="4"/>
        <v>1</v>
      </c>
      <c r="K10" s="43">
        <f t="shared" si="5"/>
        <v>5.9352927476241613</v>
      </c>
      <c r="L10" s="39">
        <v>1524.44</v>
      </c>
      <c r="M10" s="46">
        <f t="shared" si="6"/>
        <v>1371.9960000000001</v>
      </c>
      <c r="N10" s="47">
        <f t="shared" si="7"/>
        <v>152.44399999999996</v>
      </c>
      <c r="Q10">
        <v>-0.1</v>
      </c>
    </row>
    <row r="11" spans="1:17" ht="17" thickBot="1" x14ac:dyDescent="0.25">
      <c r="A11" s="6" t="s">
        <v>12</v>
      </c>
      <c r="B11" s="12">
        <v>40.33</v>
      </c>
      <c r="C11" s="13">
        <v>-103.62</v>
      </c>
      <c r="D11" s="14">
        <v>41.1</v>
      </c>
      <c r="E11" s="14">
        <v>-97.02</v>
      </c>
      <c r="F11" s="15">
        <f t="shared" si="0"/>
        <v>6.64476485663715</v>
      </c>
      <c r="G11" s="23">
        <f t="shared" si="1"/>
        <v>40.092629079697048</v>
      </c>
      <c r="H11" s="23">
        <f t="shared" si="2"/>
        <v>-115.85870161120678</v>
      </c>
      <c r="I11" s="25">
        <f t="shared" si="3"/>
        <v>12.241003311900576</v>
      </c>
      <c r="J11" s="44" t="b">
        <f t="shared" si="4"/>
        <v>1</v>
      </c>
      <c r="K11" s="45">
        <f t="shared" si="5"/>
        <v>6.64476485663715</v>
      </c>
      <c r="L11" s="48">
        <v>1326.79</v>
      </c>
      <c r="M11" s="49">
        <f t="shared" si="6"/>
        <v>1486.0048000000002</v>
      </c>
      <c r="N11" s="50">
        <f t="shared" si="7"/>
        <v>-159.2148000000002</v>
      </c>
      <c r="Q11">
        <v>0.12</v>
      </c>
    </row>
    <row r="12" spans="1:17" ht="17" thickBot="1" x14ac:dyDescent="0.25"/>
    <row r="13" spans="1:17" ht="17" thickBot="1" x14ac:dyDescent="0.25">
      <c r="B13" s="26" t="s">
        <v>26</v>
      </c>
      <c r="C13" s="29">
        <f>SUM($K$4:$K$11)+M15</f>
        <v>1350.2663778075998</v>
      </c>
      <c r="F13" s="26" t="s">
        <v>27</v>
      </c>
      <c r="G13" s="27">
        <v>40.092629079697048</v>
      </c>
      <c r="H13" s="30">
        <v>-115.85870161120678</v>
      </c>
      <c r="L13" s="52" t="b">
        <v>1</v>
      </c>
      <c r="M13" s="53">
        <f>SUMIF('Stipulation Model'!$J$4:$J$11,'Stipulation Model'!L13,'Stipulation Model'!$M$4:$M$11)</f>
        <v>7012.9969999999994</v>
      </c>
    </row>
    <row r="14" spans="1:17" x14ac:dyDescent="0.2">
      <c r="L14" s="54" t="b">
        <v>0</v>
      </c>
      <c r="M14" s="55">
        <f>SUMIF('Stipulation Model'!$J$4:$J$11,'Stipulation Model'!L14,'Stipulation Model'!$M$4:$M$11)</f>
        <v>5710.9970000000003</v>
      </c>
    </row>
    <row r="15" spans="1:17" ht="17" thickBot="1" x14ac:dyDescent="0.25">
      <c r="L15" s="51" t="s">
        <v>32</v>
      </c>
      <c r="M15" s="7">
        <f>ABS(M13-M14)</f>
        <v>1301.9999999999991</v>
      </c>
    </row>
  </sheetData>
  <mergeCells count="5">
    <mergeCell ref="B2:C2"/>
    <mergeCell ref="D2:F2"/>
    <mergeCell ref="G2:I2"/>
    <mergeCell ref="J2:K2"/>
    <mergeCell ref="L2:N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{LinDuva}_Module12_Current_DCs</vt:lpstr>
      <vt:lpstr>{LinDuva}_Module12_Projected_Gr</vt:lpstr>
      <vt:lpstr>EDA</vt:lpstr>
      <vt:lpstr>Model</vt:lpstr>
      <vt:lpstr>Stipulation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Gonzales</cp:lastModifiedBy>
  <dcterms:created xsi:type="dcterms:W3CDTF">2025-05-07T03:01:33Z</dcterms:created>
  <dcterms:modified xsi:type="dcterms:W3CDTF">2025-05-07T03:01:33Z</dcterms:modified>
</cp:coreProperties>
</file>