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sminegonzales/Downloads/{LinDuva}_Module10_Data/"/>
    </mc:Choice>
  </mc:AlternateContent>
  <xr:revisionPtr revIDLastSave="0" documentId="8_{AC6F8540-E2EF-BF4B-A211-4577BAF8C534}" xr6:coauthVersionLast="47" xr6:coauthVersionMax="47" xr10:uidLastSave="{00000000-0000-0000-0000-000000000000}"/>
  <bookViews>
    <workbookView xWindow="4340" yWindow="1500" windowWidth="24460" windowHeight="14880" activeTab="2" xr2:uid="{93CAA62C-8E67-1F45-AD46-FCE2B9F5AF5A}"/>
  </bookViews>
  <sheets>
    <sheet name="{LinDuva}_Module10_Connections" sheetId="1" r:id="rId1"/>
    <sheet name="{LinDuva}_Module10_Locations" sheetId="2" r:id="rId2"/>
    <sheet name="MODULE" sheetId="3" r:id="rId3"/>
  </sheets>
  <definedNames>
    <definedName name="solver_adj" localSheetId="2" hidden="1">MODULE!$B$3:$B$26,MODULE!$M$40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itr" localSheetId="2" hidden="1">2147483647</definedName>
    <definedName name="solver_lhs1" localSheetId="2" hidden="1">MODULE!$B$3:$B$26</definedName>
    <definedName name="solver_lhs2" localSheetId="2" hidden="1">MODULE!$S$35:$S$38</definedName>
    <definedName name="solver_lhs3" localSheetId="2" hidden="1">MODULE!$V$3:$V$9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opt" localSheetId="2" hidden="1">MODULE!$M$40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1</definedName>
    <definedName name="solver_rel3" localSheetId="2" hidden="1">3</definedName>
    <definedName name="solver_rhs1" localSheetId="2" hidden="1">0</definedName>
    <definedName name="solver_rhs2" localSheetId="2" hidden="1">MODULE!$M$40</definedName>
    <definedName name="solver_rhs3" localSheetId="2" hidden="1">MODULE!$W$3:$W$9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O29" i="3" l="1"/>
  <c r="O38" i="3"/>
  <c r="T4" i="3"/>
  <c r="T3" i="3"/>
  <c r="O31" i="3"/>
  <c r="N38" i="3"/>
  <c r="N37" i="3"/>
  <c r="P37" i="3" s="1"/>
  <c r="Q37" i="3" s="1"/>
  <c r="S37" i="3" s="1"/>
  <c r="O32" i="3"/>
  <c r="N35" i="3"/>
  <c r="P35" i="3" s="1"/>
  <c r="Q35" i="3" s="1"/>
  <c r="S35" i="3" s="1"/>
  <c r="P32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K3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3" i="3"/>
  <c r="T5" i="3"/>
  <c r="T6" i="3"/>
  <c r="T7" i="3"/>
  <c r="T8" i="3"/>
  <c r="T9" i="3"/>
  <c r="U4" i="3"/>
  <c r="U5" i="3"/>
  <c r="U6" i="3"/>
  <c r="U7" i="3"/>
  <c r="U8" i="3"/>
  <c r="U9" i="3"/>
  <c r="U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3" i="3"/>
  <c r="P38" i="3" l="1"/>
  <c r="Q38" i="3" s="1"/>
  <c r="S38" i="3" s="1"/>
  <c r="L3" i="3"/>
  <c r="V9" i="3"/>
  <c r="L19" i="3"/>
  <c r="L18" i="3"/>
  <c r="L17" i="3"/>
  <c r="L15" i="3"/>
  <c r="L22" i="3"/>
  <c r="L14" i="3"/>
  <c r="L6" i="3"/>
  <c r="L11" i="3"/>
  <c r="L26" i="3"/>
  <c r="L9" i="3"/>
  <c r="L16" i="3"/>
  <c r="L7" i="3"/>
  <c r="L21" i="3"/>
  <c r="L13" i="3"/>
  <c r="L5" i="3"/>
  <c r="L10" i="3"/>
  <c r="L25" i="3"/>
  <c r="L24" i="3"/>
  <c r="L8" i="3"/>
  <c r="L23" i="3"/>
  <c r="L20" i="3"/>
  <c r="L12" i="3"/>
  <c r="L4" i="3"/>
  <c r="V3" i="3"/>
  <c r="V8" i="3"/>
  <c r="V7" i="3"/>
  <c r="V6" i="3"/>
  <c r="V5" i="3"/>
  <c r="V4" i="3"/>
  <c r="N36" i="3" l="1"/>
  <c r="P36" i="3" s="1"/>
  <c r="Q36" i="3" s="1"/>
  <c r="S36" i="3" s="1"/>
  <c r="O30" i="3"/>
</calcChain>
</file>

<file path=xl/sharedStrings.xml><?xml version="1.0" encoding="utf-8"?>
<sst xmlns="http://purl.oclc.org/ooxml/spreadsheetml/main" count="115" uniqueCount="61">
  <si>
    <t>from</t>
  </si>
  <si>
    <t>to</t>
  </si>
  <si>
    <t>cost_per_unit_shipped</t>
  </si>
  <si>
    <t>transportation_method</t>
  </si>
  <si>
    <t>congestion_level</t>
  </si>
  <si>
    <t>Diesel Trucks</t>
  </si>
  <si>
    <t>Air Freight</t>
  </si>
  <si>
    <t>Cargo Ships (Heavy Fuel Oil)</t>
  </si>
  <si>
    <t>Electric/Hybrid Trucks</t>
  </si>
  <si>
    <t>Diesel Rail</t>
  </si>
  <si>
    <t>Slow Steaming Cargo Ships</t>
  </si>
  <si>
    <t>Wind-powered Ships</t>
  </si>
  <si>
    <t>Turkish Delight Tundra</t>
  </si>
  <si>
    <t>Pixie Stix Plateau</t>
  </si>
  <si>
    <t>Molten Mocha Marsh</t>
  </si>
  <si>
    <t>Gingerbread Glades</t>
  </si>
  <si>
    <t>Frosted Fluff Fields</t>
  </si>
  <si>
    <t>Chocolate Chip Cliffs</t>
  </si>
  <si>
    <t>Candy Cane Canyon</t>
  </si>
  <si>
    <t>demand</t>
  </si>
  <si>
    <t>supply</t>
  </si>
  <si>
    <t>longitude</t>
  </si>
  <si>
    <t>latitude</t>
  </si>
  <si>
    <t>location_name</t>
  </si>
  <si>
    <t>location_id</t>
  </si>
  <si>
    <t>Ship</t>
  </si>
  <si>
    <t>From</t>
  </si>
  <si>
    <t xml:space="preserve">To </t>
  </si>
  <si>
    <t>Unit Cost</t>
  </si>
  <si>
    <t>Nodes</t>
  </si>
  <si>
    <t>Inflow</t>
  </si>
  <si>
    <t>Outflow</t>
  </si>
  <si>
    <t>Net Flow</t>
  </si>
  <si>
    <t>Supply/Demand</t>
  </si>
  <si>
    <t>Distance</t>
  </si>
  <si>
    <t>Latitude (X1)</t>
  </si>
  <si>
    <t>Longitude (X2)</t>
  </si>
  <si>
    <t>Latitude (Y1)</t>
  </si>
  <si>
    <t>Longitude (Y2)</t>
  </si>
  <si>
    <t>Method</t>
  </si>
  <si>
    <t>Congestion</t>
  </si>
  <si>
    <t>Tranportation Methods</t>
  </si>
  <si>
    <t>Congestion Level</t>
  </si>
  <si>
    <t>&gt;= 70 (high) (1)</t>
  </si>
  <si>
    <t>otherwise low (0)</t>
  </si>
  <si>
    <t>OBJECTIVE</t>
  </si>
  <si>
    <t>Total Transportation Cost</t>
  </si>
  <si>
    <t>Total Distance Traveled</t>
  </si>
  <si>
    <t>Eco-Friendliness</t>
  </si>
  <si>
    <t>Congension Levels</t>
  </si>
  <si>
    <t>Eco-Friendly Alt (0)</t>
  </si>
  <si>
    <t>Less Eco-Fiendly (1)</t>
  </si>
  <si>
    <t>Minimax</t>
  </si>
  <si>
    <t>Binary</t>
  </si>
  <si>
    <t>Target</t>
  </si>
  <si>
    <t>Totals</t>
  </si>
  <si>
    <t>Deviation</t>
  </si>
  <si>
    <t>Tartget</t>
  </si>
  <si>
    <t>% Deviation</t>
  </si>
  <si>
    <t>W</t>
  </si>
  <si>
    <t>Weigthed % Deviation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</si>
</sst>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4"/>
      <name val="Aptos Narrow"/>
      <scheme val="minor"/>
    </font>
    <font>
      <sz val="12"/>
      <color rgb="FFC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10" borderId="0" xfId="21" applyBorder="1"/>
    <xf numFmtId="0" fontId="1" fillId="10" borderId="14" xfId="21" applyBorder="1"/>
    <xf numFmtId="0" fontId="1" fillId="14" borderId="0" xfId="25" applyBorder="1"/>
    <xf numFmtId="0" fontId="1" fillId="14" borderId="14" xfId="25" applyBorder="1"/>
    <xf numFmtId="0" fontId="1" fillId="10" borderId="0" xfId="21" applyBorder="1" applyAlignment="1">
      <alignment horizontal="center"/>
    </xf>
    <xf numFmtId="0" fontId="1" fillId="10" borderId="14" xfId="21" applyBorder="1" applyAlignment="1">
      <alignment horizontal="center"/>
    </xf>
    <xf numFmtId="0" fontId="1" fillId="14" borderId="0" xfId="25" applyBorder="1" applyAlignment="1">
      <alignment horizontal="center"/>
    </xf>
    <xf numFmtId="0" fontId="1" fillId="14" borderId="14" xfId="25" applyBorder="1" applyAlignment="1">
      <alignment horizontal="center"/>
    </xf>
    <xf numFmtId="0" fontId="1" fillId="10" borderId="11" xfId="21" applyBorder="1" applyAlignment="1">
      <alignment horizontal="center"/>
    </xf>
    <xf numFmtId="0" fontId="1" fillId="10" borderId="13" xfId="21" applyBorder="1" applyAlignment="1">
      <alignment horizontal="center"/>
    </xf>
    <xf numFmtId="0" fontId="1" fillId="14" borderId="0" xfId="25" applyNumberFormat="1" applyBorder="1" applyAlignment="1">
      <alignment horizontal="center"/>
    </xf>
    <xf numFmtId="0" fontId="1" fillId="14" borderId="14" xfId="25" applyNumberFormat="1" applyBorder="1" applyAlignment="1">
      <alignment horizontal="center"/>
    </xf>
    <xf numFmtId="2" fontId="0" fillId="0" borderId="12" xfId="1" applyNumberFormat="1" applyFont="1" applyBorder="1" applyAlignment="1">
      <alignment horizontal="center"/>
    </xf>
    <xf numFmtId="2" fontId="0" fillId="0" borderId="15" xfId="1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7" fillId="3" borderId="13" xfId="9" applyBorder="1"/>
    <xf numFmtId="0" fontId="8" fillId="4" borderId="15" xfId="10" applyBorder="1"/>
    <xf numFmtId="0" fontId="7" fillId="3" borderId="12" xfId="9" applyBorder="1" applyAlignment="1">
      <alignment horizontal="center"/>
    </xf>
    <xf numFmtId="0" fontId="7" fillId="3" borderId="15" xfId="9" applyBorder="1" applyAlignment="1">
      <alignment horizontal="center"/>
    </xf>
    <xf numFmtId="0" fontId="8" fillId="4" borderId="12" xfId="10" applyBorder="1" applyAlignment="1">
      <alignment horizontal="center"/>
    </xf>
    <xf numFmtId="0" fontId="18" fillId="0" borderId="0" xfId="0" applyFont="1"/>
    <xf numFmtId="165" fontId="0" fillId="0" borderId="12" xfId="1" applyNumberFormat="1" applyFont="1" applyBorder="1" applyAlignment="1"/>
    <xf numFmtId="165" fontId="0" fillId="0" borderId="15" xfId="1" applyNumberFormat="1" applyFont="1" applyBorder="1" applyAlignment="1"/>
    <xf numFmtId="0" fontId="0" fillId="18" borderId="13" xfId="29" applyFont="1" applyBorder="1" applyAlignment="1"/>
    <xf numFmtId="0" fontId="0" fillId="26" borderId="15" xfId="37" applyFont="1" applyBorder="1"/>
    <xf numFmtId="0" fontId="18" fillId="0" borderId="0" xfId="0" applyFont="1" applyAlignment="1">
      <alignment horizontal="center"/>
    </xf>
    <xf numFmtId="0" fontId="8" fillId="4" borderId="0" xfId="10" applyBorder="1" applyAlignment="1">
      <alignment horizontal="center"/>
    </xf>
    <xf numFmtId="0" fontId="7" fillId="3" borderId="0" xfId="9" applyBorder="1" applyAlignment="1">
      <alignment horizontal="center"/>
    </xf>
    <xf numFmtId="44" fontId="0" fillId="0" borderId="0" xfId="1" applyFont="1" applyBorder="1"/>
    <xf numFmtId="44" fontId="0" fillId="0" borderId="0" xfId="0" applyNumberFormat="1" applyBorder="1"/>
    <xf numFmtId="44" fontId="0" fillId="0" borderId="0" xfId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NumberFormat="1" applyBorder="1"/>
    <xf numFmtId="0" fontId="0" fillId="0" borderId="14" xfId="0" applyBorder="1" applyAlignment="1">
      <alignment horizontal="right"/>
    </xf>
    <xf numFmtId="0" fontId="0" fillId="0" borderId="14" xfId="0" applyNumberFormat="1" applyBorder="1"/>
    <xf numFmtId="0" fontId="18" fillId="0" borderId="23" xfId="0" applyFont="1" applyBorder="1"/>
    <xf numFmtId="0" fontId="18" fillId="0" borderId="24" xfId="0" applyFont="1" applyBorder="1"/>
    <xf numFmtId="0" fontId="18" fillId="0" borderId="25" xfId="0" applyFont="1" applyBorder="1"/>
    <xf numFmtId="0" fontId="8" fillId="4" borderId="10" xfId="10" applyBorder="1" applyAlignment="1">
      <alignment horizontal="center"/>
    </xf>
    <xf numFmtId="0" fontId="7" fillId="3" borderId="14" xfId="9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26" borderId="11" xfId="37" applyFont="1" applyBorder="1" applyAlignment="1">
      <alignment horizontal="left"/>
    </xf>
    <xf numFmtId="0" fontId="0" fillId="18" borderId="11" xfId="29" applyFont="1" applyBorder="1" applyAlignment="1">
      <alignment horizontal="left"/>
    </xf>
    <xf numFmtId="0" fontId="0" fillId="18" borderId="13" xfId="29" applyFont="1" applyBorder="1" applyAlignment="1">
      <alignment horizontal="left"/>
    </xf>
    <xf numFmtId="0" fontId="19" fillId="0" borderId="22" xfId="0" applyFont="1" applyBorder="1" applyAlignment="1">
      <alignment horizontal="center"/>
    </xf>
    <xf numFmtId="0" fontId="0" fillId="26" borderId="26" xfId="37" applyFont="1" applyBorder="1" applyAlignment="1">
      <alignment horizontal="center"/>
    </xf>
    <xf numFmtId="0" fontId="0" fillId="18" borderId="26" xfId="29" applyFont="1" applyBorder="1" applyAlignment="1">
      <alignment horizontal="center"/>
    </xf>
    <xf numFmtId="0" fontId="0" fillId="18" borderId="27" xfId="29" applyFont="1" applyBorder="1" applyAlignment="1">
      <alignment horizontal="center"/>
    </xf>
    <xf numFmtId="10" fontId="0" fillId="0" borderId="0" xfId="2" applyNumberFormat="1" applyFont="1" applyBorder="1"/>
    <xf numFmtId="10" fontId="0" fillId="0" borderId="14" xfId="2" applyNumberFormat="1" applyFont="1" applyBorder="1"/>
    <xf numFmtId="10" fontId="21" fillId="33" borderId="12" xfId="2" applyNumberFormat="1" applyFont="1" applyFill="1" applyBorder="1"/>
    <xf numFmtId="10" fontId="21" fillId="33" borderId="15" xfId="2" applyNumberFormat="1" applyFont="1" applyFill="1" applyBorder="1"/>
    <xf numFmtId="2" fontId="20" fillId="0" borderId="0" xfId="0" applyNumberFormat="1" applyFont="1" applyFill="1" applyAlignment="1">
      <alignment horizontal="center"/>
    </xf>
    <xf numFmtId="2" fontId="20" fillId="33" borderId="18" xfId="0" applyNumberFormat="1" applyFont="1" applyFill="1" applyBorder="1" applyAlignment="1">
      <alignment horizontal="center"/>
    </xf>
    <xf numFmtId="0" fontId="18" fillId="0" borderId="19" xfId="0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BE79-4C1D-F041-A5F1-023631E6AE09}">
  <dimension ref="A1:E25"/>
  <sheetViews>
    <sheetView workbookViewId="0">
      <selection activeCell="G7" sqref="G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19</v>
      </c>
      <c r="D2" t="s">
        <v>5</v>
      </c>
      <c r="E2">
        <v>24</v>
      </c>
    </row>
    <row r="3" spans="1:5" x14ac:dyDescent="0.2">
      <c r="A3">
        <v>1</v>
      </c>
      <c r="B3">
        <v>3</v>
      </c>
      <c r="C3">
        <v>23</v>
      </c>
      <c r="D3" t="s">
        <v>6</v>
      </c>
      <c r="E3">
        <v>26</v>
      </c>
    </row>
    <row r="4" spans="1:5" x14ac:dyDescent="0.2">
      <c r="A4">
        <v>1</v>
      </c>
      <c r="B4">
        <v>6</v>
      </c>
      <c r="C4">
        <v>6</v>
      </c>
      <c r="D4" t="s">
        <v>7</v>
      </c>
      <c r="E4">
        <v>85</v>
      </c>
    </row>
    <row r="5" spans="1:5" x14ac:dyDescent="0.2">
      <c r="A5">
        <v>2</v>
      </c>
      <c r="B5">
        <v>1</v>
      </c>
      <c r="C5">
        <v>8</v>
      </c>
      <c r="D5" t="s">
        <v>8</v>
      </c>
      <c r="E5">
        <v>102</v>
      </c>
    </row>
    <row r="6" spans="1:5" x14ac:dyDescent="0.2">
      <c r="A6">
        <v>2</v>
      </c>
      <c r="B6">
        <v>3</v>
      </c>
      <c r="C6">
        <v>9</v>
      </c>
      <c r="D6" t="s">
        <v>6</v>
      </c>
      <c r="E6">
        <v>91</v>
      </c>
    </row>
    <row r="7" spans="1:5" x14ac:dyDescent="0.2">
      <c r="A7">
        <v>2</v>
      </c>
      <c r="B7">
        <v>4</v>
      </c>
      <c r="C7">
        <v>17</v>
      </c>
      <c r="D7" t="s">
        <v>7</v>
      </c>
      <c r="E7">
        <v>98</v>
      </c>
    </row>
    <row r="8" spans="1:5" x14ac:dyDescent="0.2">
      <c r="A8">
        <v>2</v>
      </c>
      <c r="B8">
        <v>5</v>
      </c>
      <c r="C8">
        <v>9</v>
      </c>
      <c r="D8" t="s">
        <v>9</v>
      </c>
      <c r="E8">
        <v>104</v>
      </c>
    </row>
    <row r="9" spans="1:5" x14ac:dyDescent="0.2">
      <c r="A9">
        <v>2</v>
      </c>
      <c r="B9">
        <v>6</v>
      </c>
      <c r="C9">
        <v>18</v>
      </c>
      <c r="D9" t="s">
        <v>9</v>
      </c>
      <c r="E9">
        <v>82</v>
      </c>
    </row>
    <row r="10" spans="1:5" x14ac:dyDescent="0.2">
      <c r="A10">
        <v>2</v>
      </c>
      <c r="B10">
        <v>7</v>
      </c>
      <c r="C10">
        <v>24</v>
      </c>
      <c r="D10" t="s">
        <v>7</v>
      </c>
      <c r="E10">
        <v>109</v>
      </c>
    </row>
    <row r="11" spans="1:5" x14ac:dyDescent="0.2">
      <c r="A11">
        <v>3</v>
      </c>
      <c r="B11">
        <v>5</v>
      </c>
      <c r="C11">
        <v>24</v>
      </c>
      <c r="D11" t="s">
        <v>5</v>
      </c>
      <c r="E11">
        <v>96</v>
      </c>
    </row>
    <row r="12" spans="1:5" x14ac:dyDescent="0.2">
      <c r="A12">
        <v>3</v>
      </c>
      <c r="B12">
        <v>6</v>
      </c>
      <c r="C12">
        <v>14</v>
      </c>
      <c r="D12" t="s">
        <v>8</v>
      </c>
      <c r="E12">
        <v>30</v>
      </c>
    </row>
    <row r="13" spans="1:5" x14ac:dyDescent="0.2">
      <c r="A13">
        <v>4</v>
      </c>
      <c r="B13">
        <v>1</v>
      </c>
      <c r="C13">
        <v>14</v>
      </c>
      <c r="D13" t="s">
        <v>10</v>
      </c>
      <c r="E13">
        <v>30</v>
      </c>
    </row>
    <row r="14" spans="1:5" x14ac:dyDescent="0.2">
      <c r="A14">
        <v>4</v>
      </c>
      <c r="B14">
        <v>2</v>
      </c>
      <c r="C14">
        <v>22</v>
      </c>
      <c r="D14" t="s">
        <v>7</v>
      </c>
      <c r="E14">
        <v>84</v>
      </c>
    </row>
    <row r="15" spans="1:5" x14ac:dyDescent="0.2">
      <c r="A15">
        <v>4</v>
      </c>
      <c r="B15">
        <v>3</v>
      </c>
      <c r="C15">
        <v>22</v>
      </c>
      <c r="D15" t="s">
        <v>6</v>
      </c>
      <c r="E15">
        <v>101</v>
      </c>
    </row>
    <row r="16" spans="1:5" x14ac:dyDescent="0.2">
      <c r="A16">
        <v>5</v>
      </c>
      <c r="B16">
        <v>1</v>
      </c>
      <c r="C16">
        <v>18</v>
      </c>
      <c r="D16" t="s">
        <v>6</v>
      </c>
      <c r="E16">
        <v>82</v>
      </c>
    </row>
    <row r="17" spans="1:5" x14ac:dyDescent="0.2">
      <c r="A17">
        <v>5</v>
      </c>
      <c r="B17">
        <v>2</v>
      </c>
      <c r="C17">
        <v>16</v>
      </c>
      <c r="D17" t="s">
        <v>6</v>
      </c>
      <c r="E17">
        <v>85</v>
      </c>
    </row>
    <row r="18" spans="1:5" x14ac:dyDescent="0.2">
      <c r="A18">
        <v>5</v>
      </c>
      <c r="B18">
        <v>3</v>
      </c>
      <c r="C18">
        <v>7</v>
      </c>
      <c r="D18" t="s">
        <v>8</v>
      </c>
      <c r="E18">
        <v>87</v>
      </c>
    </row>
    <row r="19" spans="1:5" x14ac:dyDescent="0.2">
      <c r="A19">
        <v>5</v>
      </c>
      <c r="B19">
        <v>7</v>
      </c>
      <c r="C19">
        <v>17</v>
      </c>
      <c r="D19" t="s">
        <v>7</v>
      </c>
      <c r="E19">
        <v>35</v>
      </c>
    </row>
    <row r="20" spans="1:5" x14ac:dyDescent="0.2">
      <c r="A20">
        <v>6</v>
      </c>
      <c r="B20">
        <v>1</v>
      </c>
      <c r="C20">
        <v>16</v>
      </c>
      <c r="D20" t="s">
        <v>8</v>
      </c>
      <c r="E20">
        <v>93</v>
      </c>
    </row>
    <row r="21" spans="1:5" x14ac:dyDescent="0.2">
      <c r="A21">
        <v>6</v>
      </c>
      <c r="B21">
        <v>2</v>
      </c>
      <c r="C21">
        <v>21</v>
      </c>
      <c r="D21" t="s">
        <v>9</v>
      </c>
      <c r="E21">
        <v>28</v>
      </c>
    </row>
    <row r="22" spans="1:5" x14ac:dyDescent="0.2">
      <c r="A22">
        <v>6</v>
      </c>
      <c r="B22">
        <v>3</v>
      </c>
      <c r="C22">
        <v>9</v>
      </c>
      <c r="D22" t="s">
        <v>6</v>
      </c>
      <c r="E22">
        <v>94</v>
      </c>
    </row>
    <row r="23" spans="1:5" x14ac:dyDescent="0.2">
      <c r="A23">
        <v>6</v>
      </c>
      <c r="B23">
        <v>5</v>
      </c>
      <c r="C23">
        <v>16</v>
      </c>
      <c r="D23" t="s">
        <v>7</v>
      </c>
      <c r="E23">
        <v>98</v>
      </c>
    </row>
    <row r="24" spans="1:5" x14ac:dyDescent="0.2">
      <c r="A24">
        <v>7</v>
      </c>
      <c r="B24">
        <v>4</v>
      </c>
      <c r="C24">
        <v>12</v>
      </c>
      <c r="D24" t="s">
        <v>7</v>
      </c>
      <c r="E24">
        <v>31</v>
      </c>
    </row>
    <row r="25" spans="1:5" x14ac:dyDescent="0.2">
      <c r="A25">
        <v>7</v>
      </c>
      <c r="B25">
        <v>5</v>
      </c>
      <c r="C25">
        <v>19</v>
      </c>
      <c r="D25" t="s">
        <v>11</v>
      </c>
      <c r="E25">
        <v>93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193A-2340-294B-94D1-8A0FAB9F03AC}">
  <dimension ref="A1:F8"/>
  <sheetViews>
    <sheetView workbookViewId="0">
      <selection activeCell="C14" sqref="C14"/>
    </sheetView>
  </sheetViews>
  <sheetFormatPr baseColWidth="10" defaultRowHeight="16" x14ac:dyDescent="0.2"/>
  <sheetData>
    <row r="1" spans="1:6" x14ac:dyDescent="0.2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</row>
    <row r="2" spans="1:6" x14ac:dyDescent="0.2">
      <c r="A2">
        <v>1</v>
      </c>
      <c r="B2" t="s">
        <v>18</v>
      </c>
      <c r="C2">
        <v>37.5</v>
      </c>
      <c r="D2">
        <v>-102.5</v>
      </c>
      <c r="E2">
        <v>9459</v>
      </c>
    </row>
    <row r="3" spans="1:6" x14ac:dyDescent="0.2">
      <c r="A3">
        <v>2</v>
      </c>
      <c r="B3" t="s">
        <v>17</v>
      </c>
      <c r="C3">
        <v>35.229999999999997</v>
      </c>
      <c r="D3">
        <v>-108.66</v>
      </c>
      <c r="F3">
        <v>1391</v>
      </c>
    </row>
    <row r="4" spans="1:6" x14ac:dyDescent="0.2">
      <c r="A4">
        <v>3</v>
      </c>
      <c r="B4" t="s">
        <v>16</v>
      </c>
      <c r="C4">
        <v>44.1</v>
      </c>
      <c r="D4">
        <v>-115.29</v>
      </c>
      <c r="F4">
        <v>1580</v>
      </c>
    </row>
    <row r="5" spans="1:6" x14ac:dyDescent="0.2">
      <c r="A5">
        <v>4</v>
      </c>
      <c r="B5" t="s">
        <v>15</v>
      </c>
      <c r="C5">
        <v>36.54</v>
      </c>
      <c r="D5">
        <v>-90.7</v>
      </c>
      <c r="F5">
        <v>1784</v>
      </c>
    </row>
    <row r="6" spans="1:6" x14ac:dyDescent="0.2">
      <c r="A6">
        <v>5</v>
      </c>
      <c r="B6" t="s">
        <v>14</v>
      </c>
      <c r="C6">
        <v>36.130000000000003</v>
      </c>
      <c r="D6">
        <v>-111.4</v>
      </c>
      <c r="F6">
        <v>1975</v>
      </c>
    </row>
    <row r="7" spans="1:6" x14ac:dyDescent="0.2">
      <c r="A7">
        <v>6</v>
      </c>
      <c r="B7" t="s">
        <v>13</v>
      </c>
      <c r="C7">
        <v>30.18</v>
      </c>
      <c r="D7">
        <v>-112.83</v>
      </c>
      <c r="F7">
        <v>1529</v>
      </c>
    </row>
    <row r="8" spans="1:6" x14ac:dyDescent="0.2">
      <c r="A8">
        <v>7</v>
      </c>
      <c r="B8" t="s">
        <v>12</v>
      </c>
      <c r="C8">
        <v>41.57</v>
      </c>
      <c r="D8">
        <v>-92.9</v>
      </c>
      <c r="F8">
        <v>1200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0B33-7622-B34C-ACE6-56715B91A9EA}">
  <dimension ref="B1:W41"/>
  <sheetViews>
    <sheetView tabSelected="1" zoomScale="66" workbookViewId="0">
      <selection activeCell="H29" sqref="H29"/>
    </sheetView>
  </sheetViews>
  <sheetFormatPr baseColWidth="10" defaultRowHeight="16" x14ac:dyDescent="0.2"/>
  <cols>
    <col min="3" max="3" width="2.83203125" customWidth="1"/>
    <col min="4" max="4" width="10.83203125" customWidth="1"/>
    <col min="5" max="5" width="2.83203125" customWidth="1"/>
    <col min="8" max="8" width="11.6640625" customWidth="1"/>
    <col min="9" max="9" width="12.5" customWidth="1"/>
    <col min="10" max="10" width="11.6640625" customWidth="1"/>
    <col min="11" max="11" width="12.5" customWidth="1"/>
    <col min="13" max="14" width="24" customWidth="1"/>
    <col min="15" max="15" width="15.33203125" bestFit="1" customWidth="1"/>
    <col min="16" max="16" width="15.33203125" customWidth="1"/>
    <col min="17" max="17" width="14" bestFit="1" customWidth="1"/>
    <col min="18" max="18" width="2.83203125" customWidth="1"/>
    <col min="19" max="19" width="20.33203125" customWidth="1"/>
    <col min="20" max="20" width="18.5" customWidth="1"/>
    <col min="23" max="23" width="13.5" customWidth="1"/>
  </cols>
  <sheetData>
    <row r="1" spans="2:23" ht="17" thickBot="1" x14ac:dyDescent="0.25">
      <c r="R1" s="4"/>
      <c r="S1" s="4"/>
      <c r="T1" s="4"/>
      <c r="U1" s="4"/>
      <c r="V1" s="4"/>
      <c r="W1" s="4"/>
    </row>
    <row r="2" spans="2:23" ht="17" thickBot="1" x14ac:dyDescent="0.25">
      <c r="B2" s="12" t="s">
        <v>25</v>
      </c>
      <c r="C2" s="8" t="s">
        <v>26</v>
      </c>
      <c r="D2" s="8"/>
      <c r="E2" s="13" t="s">
        <v>27</v>
      </c>
      <c r="F2" s="14"/>
      <c r="G2" s="9" t="s">
        <v>28</v>
      </c>
      <c r="H2" s="12" t="s">
        <v>35</v>
      </c>
      <c r="I2" s="19" t="s">
        <v>36</v>
      </c>
      <c r="J2" s="19" t="s">
        <v>37</v>
      </c>
      <c r="K2" s="19" t="s">
        <v>38</v>
      </c>
      <c r="L2" s="9" t="s">
        <v>34</v>
      </c>
      <c r="M2" s="7" t="s">
        <v>39</v>
      </c>
      <c r="N2" s="68" t="s">
        <v>53</v>
      </c>
      <c r="O2" s="11" t="s">
        <v>40</v>
      </c>
      <c r="P2" s="64" t="s">
        <v>53</v>
      </c>
      <c r="Q2" s="18"/>
      <c r="R2" s="10" t="s">
        <v>29</v>
      </c>
      <c r="S2" s="14"/>
      <c r="T2" s="15" t="s">
        <v>30</v>
      </c>
      <c r="U2" s="15" t="s">
        <v>31</v>
      </c>
      <c r="V2" s="15" t="s">
        <v>32</v>
      </c>
      <c r="W2" s="9" t="s">
        <v>33</v>
      </c>
    </row>
    <row r="3" spans="2:23" x14ac:dyDescent="0.2">
      <c r="B3" s="16">
        <v>6350</v>
      </c>
      <c r="C3" s="26">
        <v>1</v>
      </c>
      <c r="D3" s="22" t="str">
        <f>VLOOKUP(C3,$R$3:$S$9,2,FALSE)</f>
        <v>Candy Cane Canyon</v>
      </c>
      <c r="E3" s="28">
        <v>2</v>
      </c>
      <c r="F3" s="24" t="str">
        <f>_xlfn.XLOOKUP(E3,$R$3:$R$9,$S$3:$S$9)</f>
        <v>Chocolate Chip Cliffs</v>
      </c>
      <c r="G3" s="45">
        <v>19</v>
      </c>
      <c r="H3" s="30">
        <f>VLOOKUP(C3,'{LinDuva}_Module10_Locations'!$A$2:$D$8,3,FALSE)</f>
        <v>37.5</v>
      </c>
      <c r="I3" s="26">
        <f>VLOOKUP(C3,'{LinDuva}_Module10_Locations'!$A$2:$D$8,4,FALSE)</f>
        <v>-102.5</v>
      </c>
      <c r="J3" s="32">
        <f>VLOOKUP(E3,'{LinDuva}_Module10_Locations'!$A$2:$D$8,3,FALSE)</f>
        <v>35.229999999999997</v>
      </c>
      <c r="K3" s="32">
        <f>VLOOKUP(E3,'{LinDuva}_Module10_Locations'!$A$2:$D$8,4,FALSE)</f>
        <v>-108.66</v>
      </c>
      <c r="L3" s="34">
        <f>SQRT((I3-H3)^2+ (K3-J3)^2)</f>
        <v>200.75938857248994</v>
      </c>
      <c r="M3" s="65" t="s">
        <v>5</v>
      </c>
      <c r="N3" s="69">
        <v>1</v>
      </c>
      <c r="O3" s="62">
        <v>24</v>
      </c>
      <c r="P3" s="43">
        <v>0</v>
      </c>
      <c r="R3" s="3">
        <v>1</v>
      </c>
      <c r="S3" s="4" t="s">
        <v>18</v>
      </c>
      <c r="T3" s="18">
        <f>SUMIF($E$3:$E$26,R3,$B$3:$B$26)</f>
        <v>0</v>
      </c>
      <c r="U3" s="18">
        <f>SUMIF($C$3:$C$26,R3,$B$3:$B$26)</f>
        <v>9459</v>
      </c>
      <c r="V3" s="18">
        <f>T3-U3</f>
        <v>-9459</v>
      </c>
      <c r="W3" s="20">
        <v>-9459</v>
      </c>
    </row>
    <row r="4" spans="2:23" x14ac:dyDescent="0.2">
      <c r="B4" s="16">
        <v>1580</v>
      </c>
      <c r="C4" s="26">
        <v>1</v>
      </c>
      <c r="D4" s="22" t="str">
        <f>VLOOKUP(C4,$R$3:$S$9,2,FALSE)</f>
        <v>Candy Cane Canyon</v>
      </c>
      <c r="E4" s="28">
        <v>3</v>
      </c>
      <c r="F4" s="24" t="str">
        <f>_xlfn.XLOOKUP(E4,$R$3:$R$9,$S$3:$S$9)</f>
        <v>Frosted Fluff Fields</v>
      </c>
      <c r="G4" s="45">
        <v>23</v>
      </c>
      <c r="H4" s="30">
        <f>VLOOKUP(C4,'{LinDuva}_Module10_Locations'!$A$2:$D$8,3,FALSE)</f>
        <v>37.5</v>
      </c>
      <c r="I4" s="26">
        <f>VLOOKUP(C4,'{LinDuva}_Module10_Locations'!$A$2:$D$8,4,FALSE)</f>
        <v>-102.5</v>
      </c>
      <c r="J4" s="32">
        <f>VLOOKUP(E4,'{LinDuva}_Module10_Locations'!$A$2:$D$8,3,FALSE)</f>
        <v>44.1</v>
      </c>
      <c r="K4" s="32">
        <f>VLOOKUP(E4,'{LinDuva}_Module10_Locations'!$A$2:$D$8,4,FALSE)</f>
        <v>-115.29</v>
      </c>
      <c r="L4" s="34">
        <f t="shared" ref="L4:L26" si="0">SQRT((I4-H4)^2+ (K4-J4)^2)</f>
        <v>212.14422476230646</v>
      </c>
      <c r="M4" s="65" t="s">
        <v>6</v>
      </c>
      <c r="N4" s="69">
        <v>1</v>
      </c>
      <c r="O4" s="50">
        <v>26</v>
      </c>
      <c r="P4" s="43">
        <v>0</v>
      </c>
      <c r="R4" s="3">
        <v>2</v>
      </c>
      <c r="S4" s="4" t="s">
        <v>17</v>
      </c>
      <c r="T4" s="18">
        <f>SUMIF($E$3:$E$26,R4,$B$3:$B$26)</f>
        <v>6350</v>
      </c>
      <c r="U4" s="18">
        <f t="shared" ref="U4:U9" si="1">SUMIF($C$3:$C$26,R4,$B$3:$B$26)</f>
        <v>4959</v>
      </c>
      <c r="V4" s="18">
        <f t="shared" ref="V4:V9" si="2">T4-U4</f>
        <v>1391</v>
      </c>
      <c r="W4" s="20">
        <v>1391</v>
      </c>
    </row>
    <row r="5" spans="2:23" x14ac:dyDescent="0.2">
      <c r="B5" s="16">
        <v>1529</v>
      </c>
      <c r="C5" s="26">
        <v>1</v>
      </c>
      <c r="D5" s="22" t="str">
        <f>VLOOKUP(C5,$R$3:$S$9,2,FALSE)</f>
        <v>Candy Cane Canyon</v>
      </c>
      <c r="E5" s="28">
        <v>6</v>
      </c>
      <c r="F5" s="24" t="str">
        <f>_xlfn.XLOOKUP(E5,$R$3:$R$9,$S$3:$S$9)</f>
        <v>Pixie Stix Plateau</v>
      </c>
      <c r="G5" s="45">
        <v>6</v>
      </c>
      <c r="H5" s="30">
        <f>VLOOKUP(C5,'{LinDuva}_Module10_Locations'!$A$2:$D$8,3,FALSE)</f>
        <v>37.5</v>
      </c>
      <c r="I5" s="26">
        <f>VLOOKUP(C5,'{LinDuva}_Module10_Locations'!$A$2:$D$8,4,FALSE)</f>
        <v>-102.5</v>
      </c>
      <c r="J5" s="32">
        <f>VLOOKUP(E5,'{LinDuva}_Module10_Locations'!$A$2:$D$8,3,FALSE)</f>
        <v>30.18</v>
      </c>
      <c r="K5" s="32">
        <f>VLOOKUP(E5,'{LinDuva}_Module10_Locations'!$A$2:$D$8,4,FALSE)</f>
        <v>-112.83</v>
      </c>
      <c r="L5" s="34">
        <f t="shared" si="0"/>
        <v>200.12960825425108</v>
      </c>
      <c r="M5" s="65" t="s">
        <v>7</v>
      </c>
      <c r="N5" s="69">
        <v>1</v>
      </c>
      <c r="O5" s="51">
        <v>85</v>
      </c>
      <c r="P5" s="41">
        <v>1</v>
      </c>
      <c r="R5" s="3">
        <v>3</v>
      </c>
      <c r="S5" s="4" t="s">
        <v>16</v>
      </c>
      <c r="T5" s="18">
        <f t="shared" ref="T4:T9" si="3">SUMIF($E$3:$E$26,R5,$B$3:$B$26)</f>
        <v>1580</v>
      </c>
      <c r="U5" s="18">
        <f t="shared" si="1"/>
        <v>0</v>
      </c>
      <c r="V5" s="18">
        <f t="shared" si="2"/>
        <v>1580</v>
      </c>
      <c r="W5" s="20">
        <v>1580</v>
      </c>
    </row>
    <row r="6" spans="2:23" x14ac:dyDescent="0.2">
      <c r="B6" s="16">
        <v>0</v>
      </c>
      <c r="C6" s="26">
        <v>2</v>
      </c>
      <c r="D6" s="22" t="str">
        <f>VLOOKUP(C6,$R$3:$S$9,2,FALSE)</f>
        <v>Chocolate Chip Cliffs</v>
      </c>
      <c r="E6" s="28">
        <v>1</v>
      </c>
      <c r="F6" s="24" t="str">
        <f>_xlfn.XLOOKUP(E6,$R$3:$R$9,$S$3:$S$9)</f>
        <v>Candy Cane Canyon</v>
      </c>
      <c r="G6" s="45">
        <v>8</v>
      </c>
      <c r="H6" s="30">
        <f>VLOOKUP(C6,'{LinDuva}_Module10_Locations'!$A$2:$D$8,3,FALSE)</f>
        <v>35.229999999999997</v>
      </c>
      <c r="I6" s="26">
        <f>VLOOKUP(C6,'{LinDuva}_Module10_Locations'!$A$2:$D$8,4,FALSE)</f>
        <v>-108.66</v>
      </c>
      <c r="J6" s="32">
        <f>VLOOKUP(E6,'{LinDuva}_Module10_Locations'!$A$2:$D$8,3,FALSE)</f>
        <v>37.5</v>
      </c>
      <c r="K6" s="32">
        <f>VLOOKUP(E6,'{LinDuva}_Module10_Locations'!$A$2:$D$8,4,FALSE)</f>
        <v>-102.5</v>
      </c>
      <c r="L6" s="34">
        <f t="shared" si="0"/>
        <v>200.75938857248994</v>
      </c>
      <c r="M6" s="66" t="s">
        <v>8</v>
      </c>
      <c r="N6" s="70">
        <v>0</v>
      </c>
      <c r="O6" s="51">
        <v>102</v>
      </c>
      <c r="P6" s="41">
        <v>1</v>
      </c>
      <c r="R6" s="3">
        <v>4</v>
      </c>
      <c r="S6" s="4" t="s">
        <v>15</v>
      </c>
      <c r="T6" s="18">
        <f t="shared" si="3"/>
        <v>1784</v>
      </c>
      <c r="U6" s="18">
        <f t="shared" si="1"/>
        <v>0</v>
      </c>
      <c r="V6" s="18">
        <f t="shared" si="2"/>
        <v>1784</v>
      </c>
      <c r="W6" s="20">
        <v>1784</v>
      </c>
    </row>
    <row r="7" spans="2:23" x14ac:dyDescent="0.2">
      <c r="B7" s="16">
        <v>0</v>
      </c>
      <c r="C7" s="26">
        <v>2</v>
      </c>
      <c r="D7" s="22" t="str">
        <f>VLOOKUP(C7,$R$3:$S$9,2,FALSE)</f>
        <v>Chocolate Chip Cliffs</v>
      </c>
      <c r="E7" s="28">
        <v>3</v>
      </c>
      <c r="F7" s="24" t="str">
        <f>_xlfn.XLOOKUP(E7,$R$3:$R$9,$S$3:$S$9)</f>
        <v>Frosted Fluff Fields</v>
      </c>
      <c r="G7" s="45">
        <v>9</v>
      </c>
      <c r="H7" s="30">
        <f>VLOOKUP(C7,'{LinDuva}_Module10_Locations'!$A$2:$D$8,3,FALSE)</f>
        <v>35.229999999999997</v>
      </c>
      <c r="I7" s="26">
        <f>VLOOKUP(C7,'{LinDuva}_Module10_Locations'!$A$2:$D$8,4,FALSE)</f>
        <v>-108.66</v>
      </c>
      <c r="J7" s="32">
        <f>VLOOKUP(E7,'{LinDuva}_Module10_Locations'!$A$2:$D$8,3,FALSE)</f>
        <v>44.1</v>
      </c>
      <c r="K7" s="32">
        <f>VLOOKUP(E7,'{LinDuva}_Module10_Locations'!$A$2:$D$8,4,FALSE)</f>
        <v>-115.29</v>
      </c>
      <c r="L7" s="34">
        <f t="shared" si="0"/>
        <v>214.73123713144298</v>
      </c>
      <c r="M7" s="65" t="s">
        <v>6</v>
      </c>
      <c r="N7" s="69">
        <v>1</v>
      </c>
      <c r="O7" s="51">
        <v>91</v>
      </c>
      <c r="P7" s="41">
        <v>1</v>
      </c>
      <c r="R7" s="3">
        <v>5</v>
      </c>
      <c r="S7" s="4" t="s">
        <v>14</v>
      </c>
      <c r="T7" s="18">
        <f t="shared" si="3"/>
        <v>1975</v>
      </c>
      <c r="U7" s="18">
        <f t="shared" si="1"/>
        <v>0</v>
      </c>
      <c r="V7" s="18">
        <f t="shared" si="2"/>
        <v>1975</v>
      </c>
      <c r="W7" s="20">
        <v>1975</v>
      </c>
    </row>
    <row r="8" spans="2:23" x14ac:dyDescent="0.2">
      <c r="B8" s="16">
        <v>1784</v>
      </c>
      <c r="C8" s="26">
        <v>2</v>
      </c>
      <c r="D8" s="22" t="str">
        <f>VLOOKUP(C8,$R$3:$S$9,2,FALSE)</f>
        <v>Chocolate Chip Cliffs</v>
      </c>
      <c r="E8" s="28">
        <v>4</v>
      </c>
      <c r="F8" s="24" t="str">
        <f>_xlfn.XLOOKUP(E8,$R$3:$R$9,$S$3:$S$9)</f>
        <v>Gingerbread Glades</v>
      </c>
      <c r="G8" s="45">
        <v>17</v>
      </c>
      <c r="H8" s="30">
        <f>VLOOKUP(C8,'{LinDuva}_Module10_Locations'!$A$2:$D$8,3,FALSE)</f>
        <v>35.229999999999997</v>
      </c>
      <c r="I8" s="26">
        <f>VLOOKUP(C8,'{LinDuva}_Module10_Locations'!$A$2:$D$8,4,FALSE)</f>
        <v>-108.66</v>
      </c>
      <c r="J8" s="32">
        <f>VLOOKUP(E8,'{LinDuva}_Module10_Locations'!$A$2:$D$8,3,FALSE)</f>
        <v>36.54</v>
      </c>
      <c r="K8" s="32">
        <f>VLOOKUP(E8,'{LinDuva}_Module10_Locations'!$A$2:$D$8,4,FALSE)</f>
        <v>-90.7</v>
      </c>
      <c r="L8" s="34">
        <f t="shared" si="0"/>
        <v>192.0790194164891</v>
      </c>
      <c r="M8" s="65" t="s">
        <v>7</v>
      </c>
      <c r="N8" s="69">
        <v>1</v>
      </c>
      <c r="O8" s="51">
        <v>98</v>
      </c>
      <c r="P8" s="41">
        <v>1</v>
      </c>
      <c r="R8" s="3">
        <v>6</v>
      </c>
      <c r="S8" s="4" t="s">
        <v>13</v>
      </c>
      <c r="T8" s="18">
        <f t="shared" si="3"/>
        <v>1529</v>
      </c>
      <c r="U8" s="18">
        <f t="shared" si="1"/>
        <v>0</v>
      </c>
      <c r="V8" s="18">
        <f t="shared" si="2"/>
        <v>1529</v>
      </c>
      <c r="W8" s="20">
        <v>1529</v>
      </c>
    </row>
    <row r="9" spans="2:23" ht="17" thickBot="1" x14ac:dyDescent="0.25">
      <c r="B9" s="16">
        <v>1975</v>
      </c>
      <c r="C9" s="26">
        <v>2</v>
      </c>
      <c r="D9" s="22" t="str">
        <f>VLOOKUP(C9,$R$3:$S$9,2,FALSE)</f>
        <v>Chocolate Chip Cliffs</v>
      </c>
      <c r="E9" s="28">
        <v>5</v>
      </c>
      <c r="F9" s="24" t="str">
        <f>_xlfn.XLOOKUP(E9,$R$3:$R$9,$S$3:$S$9)</f>
        <v>Molten Mocha Marsh</v>
      </c>
      <c r="G9" s="45">
        <v>9</v>
      </c>
      <c r="H9" s="30">
        <f>VLOOKUP(C9,'{LinDuva}_Module10_Locations'!$A$2:$D$8,3,FALSE)</f>
        <v>35.229999999999997</v>
      </c>
      <c r="I9" s="26">
        <f>VLOOKUP(C9,'{LinDuva}_Module10_Locations'!$A$2:$D$8,4,FALSE)</f>
        <v>-108.66</v>
      </c>
      <c r="J9" s="32">
        <f>VLOOKUP(E9,'{LinDuva}_Module10_Locations'!$A$2:$D$8,3,FALSE)</f>
        <v>36.130000000000003</v>
      </c>
      <c r="K9" s="32">
        <f>VLOOKUP(E9,'{LinDuva}_Module10_Locations'!$A$2:$D$8,4,FALSE)</f>
        <v>-111.4</v>
      </c>
      <c r="L9" s="34">
        <f t="shared" si="0"/>
        <v>206.08113208151784</v>
      </c>
      <c r="M9" s="65" t="s">
        <v>9</v>
      </c>
      <c r="N9" s="69">
        <v>1</v>
      </c>
      <c r="O9" s="51">
        <v>104</v>
      </c>
      <c r="P9" s="41">
        <v>1</v>
      </c>
      <c r="R9" s="5">
        <v>7</v>
      </c>
      <c r="S9" s="6" t="s">
        <v>12</v>
      </c>
      <c r="T9" s="36">
        <f t="shared" si="3"/>
        <v>1200</v>
      </c>
      <c r="U9" s="36">
        <f t="shared" si="1"/>
        <v>0</v>
      </c>
      <c r="V9" s="36">
        <f t="shared" si="2"/>
        <v>1200</v>
      </c>
      <c r="W9" s="21">
        <v>1200</v>
      </c>
    </row>
    <row r="10" spans="2:23" x14ac:dyDescent="0.2">
      <c r="B10" s="16">
        <v>0</v>
      </c>
      <c r="C10" s="26">
        <v>2</v>
      </c>
      <c r="D10" s="22" t="str">
        <f>VLOOKUP(C10,$R$3:$S$9,2,FALSE)</f>
        <v>Chocolate Chip Cliffs</v>
      </c>
      <c r="E10" s="28">
        <v>6</v>
      </c>
      <c r="F10" s="24" t="str">
        <f>_xlfn.XLOOKUP(E10,$R$3:$R$9,$S$3:$S$9)</f>
        <v>Pixie Stix Plateau</v>
      </c>
      <c r="G10" s="45">
        <v>18</v>
      </c>
      <c r="H10" s="30">
        <f>VLOOKUP(C10,'{LinDuva}_Module10_Locations'!$A$2:$D$8,3,FALSE)</f>
        <v>35.229999999999997</v>
      </c>
      <c r="I10" s="26">
        <f>VLOOKUP(C10,'{LinDuva}_Module10_Locations'!$A$2:$D$8,4,FALSE)</f>
        <v>-108.66</v>
      </c>
      <c r="J10" s="32">
        <f>VLOOKUP(E10,'{LinDuva}_Module10_Locations'!$A$2:$D$8,3,FALSE)</f>
        <v>30.18</v>
      </c>
      <c r="K10" s="32">
        <f>VLOOKUP(E10,'{LinDuva}_Module10_Locations'!$A$2:$D$8,4,FALSE)</f>
        <v>-112.83</v>
      </c>
      <c r="L10" s="34">
        <f t="shared" si="0"/>
        <v>202.86988983089628</v>
      </c>
      <c r="M10" s="65" t="s">
        <v>9</v>
      </c>
      <c r="N10" s="69">
        <v>1</v>
      </c>
      <c r="O10" s="51">
        <v>82</v>
      </c>
      <c r="P10" s="41">
        <v>1</v>
      </c>
    </row>
    <row r="11" spans="2:23" ht="17" thickBot="1" x14ac:dyDescent="0.25">
      <c r="B11" s="16">
        <v>1200</v>
      </c>
      <c r="C11" s="26">
        <v>2</v>
      </c>
      <c r="D11" s="22" t="str">
        <f>VLOOKUP(C11,$R$3:$S$9,2,FALSE)</f>
        <v>Chocolate Chip Cliffs</v>
      </c>
      <c r="E11" s="28">
        <v>7</v>
      </c>
      <c r="F11" s="24" t="str">
        <f>_xlfn.XLOOKUP(E11,$R$3:$R$9,$S$3:$S$9)</f>
        <v>Turkish Delight Tundra</v>
      </c>
      <c r="G11" s="45">
        <v>24</v>
      </c>
      <c r="H11" s="30">
        <f>VLOOKUP(C11,'{LinDuva}_Module10_Locations'!$A$2:$D$8,3,FALSE)</f>
        <v>35.229999999999997</v>
      </c>
      <c r="I11" s="26">
        <f>VLOOKUP(C11,'{LinDuva}_Module10_Locations'!$A$2:$D$8,4,FALSE)</f>
        <v>-108.66</v>
      </c>
      <c r="J11" s="32">
        <f>VLOOKUP(E11,'{LinDuva}_Module10_Locations'!$A$2:$D$8,3,FALSE)</f>
        <v>41.57</v>
      </c>
      <c r="K11" s="32">
        <f>VLOOKUP(E11,'{LinDuva}_Module10_Locations'!$A$2:$D$8,4,FALSE)</f>
        <v>-92.9</v>
      </c>
      <c r="L11" s="34">
        <f t="shared" si="0"/>
        <v>196.94291812603973</v>
      </c>
      <c r="M11" s="65" t="s">
        <v>7</v>
      </c>
      <c r="N11" s="69">
        <v>1</v>
      </c>
      <c r="O11" s="51">
        <v>109</v>
      </c>
      <c r="P11" s="41">
        <v>1</v>
      </c>
    </row>
    <row r="12" spans="2:23" x14ac:dyDescent="0.2">
      <c r="B12" s="16">
        <v>0</v>
      </c>
      <c r="C12" s="26">
        <v>3</v>
      </c>
      <c r="D12" s="22" t="str">
        <f>VLOOKUP(C12,$R$3:$S$9,2,FALSE)</f>
        <v>Frosted Fluff Fields</v>
      </c>
      <c r="E12" s="28">
        <v>5</v>
      </c>
      <c r="F12" s="24" t="str">
        <f>_xlfn.XLOOKUP(E12,$R$3:$R$9,$S$3:$S$9)</f>
        <v>Molten Mocha Marsh</v>
      </c>
      <c r="G12" s="45">
        <v>24</v>
      </c>
      <c r="H12" s="30">
        <f>VLOOKUP(C12,'{LinDuva}_Module10_Locations'!$A$2:$D$8,3,FALSE)</f>
        <v>44.1</v>
      </c>
      <c r="I12" s="26">
        <f>VLOOKUP(C12,'{LinDuva}_Module10_Locations'!$A$2:$D$8,4,FALSE)</f>
        <v>-115.29</v>
      </c>
      <c r="J12" s="32">
        <f>VLOOKUP(E12,'{LinDuva}_Module10_Locations'!$A$2:$D$8,3,FALSE)</f>
        <v>36.130000000000003</v>
      </c>
      <c r="K12" s="32">
        <f>VLOOKUP(E12,'{LinDuva}_Module10_Locations'!$A$2:$D$8,4,FALSE)</f>
        <v>-111.4</v>
      </c>
      <c r="L12" s="34">
        <f t="shared" si="0"/>
        <v>217.18718424437478</v>
      </c>
      <c r="M12" s="65" t="s">
        <v>5</v>
      </c>
      <c r="N12" s="69">
        <v>1</v>
      </c>
      <c r="O12" s="51">
        <v>96</v>
      </c>
      <c r="P12" s="41">
        <v>1</v>
      </c>
      <c r="S12" s="37" t="s">
        <v>41</v>
      </c>
      <c r="T12" s="38"/>
    </row>
    <row r="13" spans="2:23" ht="17" thickBot="1" x14ac:dyDescent="0.25">
      <c r="B13" s="16">
        <v>0</v>
      </c>
      <c r="C13" s="26">
        <v>3</v>
      </c>
      <c r="D13" s="22" t="str">
        <f>VLOOKUP(C13,$R$3:$S$9,2,FALSE)</f>
        <v>Frosted Fluff Fields</v>
      </c>
      <c r="E13" s="28">
        <v>6</v>
      </c>
      <c r="F13" s="24" t="str">
        <f>_xlfn.XLOOKUP(E13,$R$3:$R$9,$S$3:$S$9)</f>
        <v>Pixie Stix Plateau</v>
      </c>
      <c r="G13" s="45">
        <v>14</v>
      </c>
      <c r="H13" s="30">
        <f>VLOOKUP(C13,'{LinDuva}_Module10_Locations'!$A$2:$D$8,3,FALSE)</f>
        <v>44.1</v>
      </c>
      <c r="I13" s="26">
        <f>VLOOKUP(C13,'{LinDuva}_Module10_Locations'!$A$2:$D$8,4,FALSE)</f>
        <v>-115.29</v>
      </c>
      <c r="J13" s="32">
        <f>VLOOKUP(E13,'{LinDuva}_Module10_Locations'!$A$2:$D$8,3,FALSE)</f>
        <v>30.18</v>
      </c>
      <c r="K13" s="32">
        <f>VLOOKUP(E13,'{LinDuva}_Module10_Locations'!$A$2:$D$8,4,FALSE)</f>
        <v>-112.83</v>
      </c>
      <c r="L13" s="34">
        <f t="shared" si="0"/>
        <v>214.1425511195755</v>
      </c>
      <c r="M13" s="66" t="s">
        <v>8</v>
      </c>
      <c r="N13" s="70">
        <v>0</v>
      </c>
      <c r="O13" s="50">
        <v>30</v>
      </c>
      <c r="P13" s="43">
        <v>0</v>
      </c>
      <c r="S13" s="47" t="s">
        <v>50</v>
      </c>
      <c r="T13" s="48" t="s">
        <v>51</v>
      </c>
    </row>
    <row r="14" spans="2:23" ht="17" thickBot="1" x14ac:dyDescent="0.25">
      <c r="B14" s="16">
        <v>0</v>
      </c>
      <c r="C14" s="26">
        <v>4</v>
      </c>
      <c r="D14" s="22" t="str">
        <f>VLOOKUP(C14,$R$3:$S$9,2,FALSE)</f>
        <v>Gingerbread Glades</v>
      </c>
      <c r="E14" s="28">
        <v>1</v>
      </c>
      <c r="F14" s="24" t="str">
        <f>_xlfn.XLOOKUP(E14,$R$3:$R$9,$S$3:$S$9)</f>
        <v>Candy Cane Canyon</v>
      </c>
      <c r="G14" s="45">
        <v>14</v>
      </c>
      <c r="H14" s="30">
        <f>VLOOKUP(C14,'{LinDuva}_Module10_Locations'!$A$2:$D$8,3,FALSE)</f>
        <v>36.54</v>
      </c>
      <c r="I14" s="26">
        <f>VLOOKUP(C14,'{LinDuva}_Module10_Locations'!$A$2:$D$8,4,FALSE)</f>
        <v>-90.7</v>
      </c>
      <c r="J14" s="32">
        <f>VLOOKUP(E14,'{LinDuva}_Module10_Locations'!$A$2:$D$8,3,FALSE)</f>
        <v>37.5</v>
      </c>
      <c r="K14" s="32">
        <f>VLOOKUP(E14,'{LinDuva}_Module10_Locations'!$A$2:$D$8,4,FALSE)</f>
        <v>-102.5</v>
      </c>
      <c r="L14" s="34">
        <f t="shared" si="0"/>
        <v>189.18249813341615</v>
      </c>
      <c r="M14" s="66" t="s">
        <v>10</v>
      </c>
      <c r="N14" s="70">
        <v>0</v>
      </c>
      <c r="O14" s="50">
        <v>30</v>
      </c>
      <c r="P14" s="43">
        <v>0</v>
      </c>
      <c r="S14" s="4"/>
    </row>
    <row r="15" spans="2:23" x14ac:dyDescent="0.2">
      <c r="B15" s="16">
        <v>0</v>
      </c>
      <c r="C15" s="26">
        <v>4</v>
      </c>
      <c r="D15" s="22" t="str">
        <f>VLOOKUP(C15,$R$3:$S$9,2,FALSE)</f>
        <v>Gingerbread Glades</v>
      </c>
      <c r="E15" s="28">
        <v>2</v>
      </c>
      <c r="F15" s="24" t="str">
        <f>_xlfn.XLOOKUP(E15,$R$3:$R$9,$S$3:$S$9)</f>
        <v>Chocolate Chip Cliffs</v>
      </c>
      <c r="G15" s="45">
        <v>22</v>
      </c>
      <c r="H15" s="30">
        <f>VLOOKUP(C15,'{LinDuva}_Module10_Locations'!$A$2:$D$8,3,FALSE)</f>
        <v>36.54</v>
      </c>
      <c r="I15" s="26">
        <f>VLOOKUP(C15,'{LinDuva}_Module10_Locations'!$A$2:$D$8,4,FALSE)</f>
        <v>-90.7</v>
      </c>
      <c r="J15" s="32">
        <f>VLOOKUP(E15,'{LinDuva}_Module10_Locations'!$A$2:$D$8,3,FALSE)</f>
        <v>35.229999999999997</v>
      </c>
      <c r="K15" s="32">
        <f>VLOOKUP(E15,'{LinDuva}_Module10_Locations'!$A$2:$D$8,4,FALSE)</f>
        <v>-108.66</v>
      </c>
      <c r="L15" s="34">
        <f t="shared" si="0"/>
        <v>192.0790194164891</v>
      </c>
      <c r="M15" s="65" t="s">
        <v>7</v>
      </c>
      <c r="N15" s="69">
        <v>1</v>
      </c>
      <c r="O15" s="51">
        <v>84</v>
      </c>
      <c r="P15" s="41">
        <v>1</v>
      </c>
      <c r="S15" s="37" t="s">
        <v>42</v>
      </c>
      <c r="T15" s="38"/>
    </row>
    <row r="16" spans="2:23" ht="17" thickBot="1" x14ac:dyDescent="0.25">
      <c r="B16" s="16">
        <v>0</v>
      </c>
      <c r="C16" s="26">
        <v>4</v>
      </c>
      <c r="D16" s="22" t="str">
        <f>VLOOKUP(C16,$R$3:$S$9,2,FALSE)</f>
        <v>Gingerbread Glades</v>
      </c>
      <c r="E16" s="28">
        <v>3</v>
      </c>
      <c r="F16" s="24" t="str">
        <f>_xlfn.XLOOKUP(E16,$R$3:$R$9,$S$3:$S$9)</f>
        <v>Frosted Fluff Fields</v>
      </c>
      <c r="G16" s="45">
        <v>22</v>
      </c>
      <c r="H16" s="30">
        <f>VLOOKUP(C16,'{LinDuva}_Module10_Locations'!$A$2:$D$8,3,FALSE)</f>
        <v>36.54</v>
      </c>
      <c r="I16" s="26">
        <f>VLOOKUP(C16,'{LinDuva}_Module10_Locations'!$A$2:$D$8,4,FALSE)</f>
        <v>-90.7</v>
      </c>
      <c r="J16" s="32">
        <f>VLOOKUP(E16,'{LinDuva}_Module10_Locations'!$A$2:$D$8,3,FALSE)</f>
        <v>44.1</v>
      </c>
      <c r="K16" s="32">
        <f>VLOOKUP(E16,'{LinDuva}_Module10_Locations'!$A$2:$D$8,4,FALSE)</f>
        <v>-115.29</v>
      </c>
      <c r="L16" s="34">
        <f t="shared" si="0"/>
        <v>203.94898798474094</v>
      </c>
      <c r="M16" s="65" t="s">
        <v>6</v>
      </c>
      <c r="N16" s="69">
        <v>1</v>
      </c>
      <c r="O16" s="51">
        <v>101</v>
      </c>
      <c r="P16" s="41">
        <v>1</v>
      </c>
      <c r="S16" s="39" t="s">
        <v>43</v>
      </c>
      <c r="T16" s="40" t="s">
        <v>44</v>
      </c>
    </row>
    <row r="17" spans="2:19" x14ac:dyDescent="0.2">
      <c r="B17" s="16">
        <v>0</v>
      </c>
      <c r="C17" s="26">
        <v>5</v>
      </c>
      <c r="D17" s="22" t="str">
        <f>VLOOKUP(C17,$R$3:$S$9,2,FALSE)</f>
        <v>Molten Mocha Marsh</v>
      </c>
      <c r="E17" s="28">
        <v>1</v>
      </c>
      <c r="F17" s="24" t="str">
        <f>_xlfn.XLOOKUP(E17,$R$3:$R$9,$S$3:$S$9)</f>
        <v>Candy Cane Canyon</v>
      </c>
      <c r="G17" s="45">
        <v>18</v>
      </c>
      <c r="H17" s="30">
        <f>VLOOKUP(C17,'{LinDuva}_Module10_Locations'!$A$2:$D$8,3,FALSE)</f>
        <v>36.130000000000003</v>
      </c>
      <c r="I17" s="26">
        <f>VLOOKUP(C17,'{LinDuva}_Module10_Locations'!$A$2:$D$8,4,FALSE)</f>
        <v>-111.4</v>
      </c>
      <c r="J17" s="32">
        <f>VLOOKUP(E17,'{LinDuva}_Module10_Locations'!$A$2:$D$8,3,FALSE)</f>
        <v>37.5</v>
      </c>
      <c r="K17" s="32">
        <f>VLOOKUP(E17,'{LinDuva}_Module10_Locations'!$A$2:$D$8,4,FALSE)</f>
        <v>-102.5</v>
      </c>
      <c r="L17" s="34">
        <f t="shared" si="0"/>
        <v>203.38412155328155</v>
      </c>
      <c r="M17" s="65" t="s">
        <v>6</v>
      </c>
      <c r="N17" s="69">
        <v>1</v>
      </c>
      <c r="O17" s="51">
        <v>82</v>
      </c>
      <c r="P17" s="41">
        <v>1</v>
      </c>
      <c r="S17" s="4"/>
    </row>
    <row r="18" spans="2:19" x14ac:dyDescent="0.2">
      <c r="B18" s="16">
        <v>0</v>
      </c>
      <c r="C18" s="26">
        <v>5</v>
      </c>
      <c r="D18" s="22" t="str">
        <f>VLOOKUP(C18,$R$3:$S$9,2,FALSE)</f>
        <v>Molten Mocha Marsh</v>
      </c>
      <c r="E18" s="28">
        <v>2</v>
      </c>
      <c r="F18" s="24" t="str">
        <f>_xlfn.XLOOKUP(E18,$R$3:$R$9,$S$3:$S$9)</f>
        <v>Chocolate Chip Cliffs</v>
      </c>
      <c r="G18" s="45">
        <v>16</v>
      </c>
      <c r="H18" s="30">
        <f>VLOOKUP(C18,'{LinDuva}_Module10_Locations'!$A$2:$D$8,3,FALSE)</f>
        <v>36.130000000000003</v>
      </c>
      <c r="I18" s="26">
        <f>VLOOKUP(C18,'{LinDuva}_Module10_Locations'!$A$2:$D$8,4,FALSE)</f>
        <v>-111.4</v>
      </c>
      <c r="J18" s="32">
        <f>VLOOKUP(E18,'{LinDuva}_Module10_Locations'!$A$2:$D$8,3,FALSE)</f>
        <v>35.229999999999997</v>
      </c>
      <c r="K18" s="32">
        <f>VLOOKUP(E18,'{LinDuva}_Module10_Locations'!$A$2:$D$8,4,FALSE)</f>
        <v>-108.66</v>
      </c>
      <c r="L18" s="34">
        <f t="shared" si="0"/>
        <v>206.08113208151784</v>
      </c>
      <c r="M18" s="65" t="s">
        <v>6</v>
      </c>
      <c r="N18" s="69">
        <v>1</v>
      </c>
      <c r="O18" s="51">
        <v>85</v>
      </c>
      <c r="P18" s="41">
        <v>1</v>
      </c>
    </row>
    <row r="19" spans="2:19" x14ac:dyDescent="0.2">
      <c r="B19" s="16">
        <v>0</v>
      </c>
      <c r="C19" s="26">
        <v>5</v>
      </c>
      <c r="D19" s="22" t="str">
        <f>VLOOKUP(C19,$R$3:$S$9,2,FALSE)</f>
        <v>Molten Mocha Marsh</v>
      </c>
      <c r="E19" s="28">
        <v>3</v>
      </c>
      <c r="F19" s="24" t="str">
        <f>_xlfn.XLOOKUP(E19,$R$3:$R$9,$S$3:$S$9)</f>
        <v>Frosted Fluff Fields</v>
      </c>
      <c r="G19" s="45">
        <v>7</v>
      </c>
      <c r="H19" s="30">
        <f>VLOOKUP(C19,'{LinDuva}_Module10_Locations'!$A$2:$D$8,3,FALSE)</f>
        <v>36.130000000000003</v>
      </c>
      <c r="I19" s="26">
        <f>VLOOKUP(C19,'{LinDuva}_Module10_Locations'!$A$2:$D$8,4,FALSE)</f>
        <v>-111.4</v>
      </c>
      <c r="J19" s="32">
        <f>VLOOKUP(E19,'{LinDuva}_Module10_Locations'!$A$2:$D$8,3,FALSE)</f>
        <v>44.1</v>
      </c>
      <c r="K19" s="32">
        <f>VLOOKUP(E19,'{LinDuva}_Module10_Locations'!$A$2:$D$8,4,FALSE)</f>
        <v>-115.29</v>
      </c>
      <c r="L19" s="34">
        <f t="shared" si="0"/>
        <v>217.18718424437478</v>
      </c>
      <c r="M19" s="66" t="s">
        <v>8</v>
      </c>
      <c r="N19" s="70">
        <v>0</v>
      </c>
      <c r="O19" s="51">
        <v>87</v>
      </c>
      <c r="P19" s="41">
        <v>1</v>
      </c>
    </row>
    <row r="20" spans="2:19" x14ac:dyDescent="0.2">
      <c r="B20" s="16">
        <v>0</v>
      </c>
      <c r="C20" s="26">
        <v>5</v>
      </c>
      <c r="D20" s="22" t="str">
        <f>VLOOKUP(C20,$R$3:$S$9,2,FALSE)</f>
        <v>Molten Mocha Marsh</v>
      </c>
      <c r="E20" s="28">
        <v>7</v>
      </c>
      <c r="F20" s="24" t="str">
        <f>_xlfn.XLOOKUP(E20,$R$3:$R$9,$S$3:$S$9)</f>
        <v>Turkish Delight Tundra</v>
      </c>
      <c r="G20" s="45">
        <v>17</v>
      </c>
      <c r="H20" s="30">
        <f>VLOOKUP(C20,'{LinDuva}_Module10_Locations'!$A$2:$D$8,3,FALSE)</f>
        <v>36.130000000000003</v>
      </c>
      <c r="I20" s="26">
        <f>VLOOKUP(C20,'{LinDuva}_Module10_Locations'!$A$2:$D$8,4,FALSE)</f>
        <v>-111.4</v>
      </c>
      <c r="J20" s="32">
        <f>VLOOKUP(E20,'{LinDuva}_Module10_Locations'!$A$2:$D$8,3,FALSE)</f>
        <v>41.57</v>
      </c>
      <c r="K20" s="32">
        <f>VLOOKUP(E20,'{LinDuva}_Module10_Locations'!$A$2:$D$8,4,FALSE)</f>
        <v>-92.9</v>
      </c>
      <c r="L20" s="34">
        <f t="shared" si="0"/>
        <v>199.61783938315733</v>
      </c>
      <c r="M20" s="65" t="s">
        <v>7</v>
      </c>
      <c r="N20" s="69">
        <v>1</v>
      </c>
      <c r="O20" s="50">
        <v>35</v>
      </c>
      <c r="P20" s="43">
        <v>0</v>
      </c>
    </row>
    <row r="21" spans="2:19" x14ac:dyDescent="0.2">
      <c r="B21" s="16">
        <v>0</v>
      </c>
      <c r="C21" s="26">
        <v>6</v>
      </c>
      <c r="D21" s="22" t="str">
        <f>VLOOKUP(C21,$R$3:$S$9,2,FALSE)</f>
        <v>Pixie Stix Plateau</v>
      </c>
      <c r="E21" s="28">
        <v>1</v>
      </c>
      <c r="F21" s="24" t="str">
        <f>_xlfn.XLOOKUP(E21,$R$3:$R$9,$S$3:$S$9)</f>
        <v>Candy Cane Canyon</v>
      </c>
      <c r="G21" s="45">
        <v>16</v>
      </c>
      <c r="H21" s="30">
        <f>VLOOKUP(C21,'{LinDuva}_Module10_Locations'!$A$2:$D$8,3,FALSE)</f>
        <v>30.18</v>
      </c>
      <c r="I21" s="26">
        <f>VLOOKUP(C21,'{LinDuva}_Module10_Locations'!$A$2:$D$8,4,FALSE)</f>
        <v>-112.83</v>
      </c>
      <c r="J21" s="32">
        <f>VLOOKUP(E21,'{LinDuva}_Module10_Locations'!$A$2:$D$8,3,FALSE)</f>
        <v>37.5</v>
      </c>
      <c r="K21" s="32">
        <f>VLOOKUP(E21,'{LinDuva}_Module10_Locations'!$A$2:$D$8,4,FALSE)</f>
        <v>-102.5</v>
      </c>
      <c r="L21" s="34">
        <f t="shared" si="0"/>
        <v>200.12960825425108</v>
      </c>
      <c r="M21" s="66" t="s">
        <v>8</v>
      </c>
      <c r="N21" s="70">
        <v>0</v>
      </c>
      <c r="O21" s="51">
        <v>93</v>
      </c>
      <c r="P21" s="41">
        <v>1</v>
      </c>
    </row>
    <row r="22" spans="2:19" x14ac:dyDescent="0.2">
      <c r="B22" s="16">
        <v>0</v>
      </c>
      <c r="C22" s="26">
        <v>6</v>
      </c>
      <c r="D22" s="22" t="str">
        <f>VLOOKUP(C22,$R$3:$S$9,2,FALSE)</f>
        <v>Pixie Stix Plateau</v>
      </c>
      <c r="E22" s="28">
        <v>2</v>
      </c>
      <c r="F22" s="24" t="str">
        <f>_xlfn.XLOOKUP(E22,$R$3:$R$9,$S$3:$S$9)</f>
        <v>Chocolate Chip Cliffs</v>
      </c>
      <c r="G22" s="45">
        <v>21</v>
      </c>
      <c r="H22" s="30">
        <f>VLOOKUP(C22,'{LinDuva}_Module10_Locations'!$A$2:$D$8,3,FALSE)</f>
        <v>30.18</v>
      </c>
      <c r="I22" s="26">
        <f>VLOOKUP(C22,'{LinDuva}_Module10_Locations'!$A$2:$D$8,4,FALSE)</f>
        <v>-112.83</v>
      </c>
      <c r="J22" s="32">
        <f>VLOOKUP(E22,'{LinDuva}_Module10_Locations'!$A$2:$D$8,3,FALSE)</f>
        <v>35.229999999999997</v>
      </c>
      <c r="K22" s="32">
        <f>VLOOKUP(E22,'{LinDuva}_Module10_Locations'!$A$2:$D$8,4,FALSE)</f>
        <v>-108.66</v>
      </c>
      <c r="L22" s="34">
        <f t="shared" si="0"/>
        <v>202.86988983089628</v>
      </c>
      <c r="M22" s="65" t="s">
        <v>9</v>
      </c>
      <c r="N22" s="69">
        <v>1</v>
      </c>
      <c r="O22" s="50">
        <v>28</v>
      </c>
      <c r="P22" s="43">
        <v>0</v>
      </c>
    </row>
    <row r="23" spans="2:19" x14ac:dyDescent="0.2">
      <c r="B23" s="16">
        <v>0</v>
      </c>
      <c r="C23" s="26">
        <v>6</v>
      </c>
      <c r="D23" s="22" t="str">
        <f>VLOOKUP(C23,$R$3:$S$9,2,FALSE)</f>
        <v>Pixie Stix Plateau</v>
      </c>
      <c r="E23" s="28">
        <v>3</v>
      </c>
      <c r="F23" s="24" t="str">
        <f>_xlfn.XLOOKUP(E23,$R$3:$R$9,$S$3:$S$9)</f>
        <v>Frosted Fluff Fields</v>
      </c>
      <c r="G23" s="45">
        <v>9</v>
      </c>
      <c r="H23" s="30">
        <f>VLOOKUP(C23,'{LinDuva}_Module10_Locations'!$A$2:$D$8,3,FALSE)</f>
        <v>30.18</v>
      </c>
      <c r="I23" s="26">
        <f>VLOOKUP(C23,'{LinDuva}_Module10_Locations'!$A$2:$D$8,4,FALSE)</f>
        <v>-112.83</v>
      </c>
      <c r="J23" s="32">
        <f>VLOOKUP(E23,'{LinDuva}_Module10_Locations'!$A$2:$D$8,3,FALSE)</f>
        <v>44.1</v>
      </c>
      <c r="K23" s="32">
        <f>VLOOKUP(E23,'{LinDuva}_Module10_Locations'!$A$2:$D$8,4,FALSE)</f>
        <v>-115.29</v>
      </c>
      <c r="L23" s="34">
        <f t="shared" si="0"/>
        <v>214.1425511195755</v>
      </c>
      <c r="M23" s="65" t="s">
        <v>6</v>
      </c>
      <c r="N23" s="69">
        <v>1</v>
      </c>
      <c r="O23" s="51">
        <v>94</v>
      </c>
      <c r="P23" s="41">
        <v>1</v>
      </c>
    </row>
    <row r="24" spans="2:19" x14ac:dyDescent="0.2">
      <c r="B24" s="16">
        <v>0</v>
      </c>
      <c r="C24" s="26">
        <v>6</v>
      </c>
      <c r="D24" s="22" t="str">
        <f>VLOOKUP(C24,$R$3:$S$9,2,FALSE)</f>
        <v>Pixie Stix Plateau</v>
      </c>
      <c r="E24" s="28">
        <v>5</v>
      </c>
      <c r="F24" s="24" t="str">
        <f>_xlfn.XLOOKUP(E24,$R$3:$R$9,$S$3:$S$9)</f>
        <v>Molten Mocha Marsh</v>
      </c>
      <c r="G24" s="45">
        <v>16</v>
      </c>
      <c r="H24" s="30">
        <f>VLOOKUP(C24,'{LinDuva}_Module10_Locations'!$A$2:$D$8,3,FALSE)</f>
        <v>30.18</v>
      </c>
      <c r="I24" s="26">
        <f>VLOOKUP(C24,'{LinDuva}_Module10_Locations'!$A$2:$D$8,4,FALSE)</f>
        <v>-112.83</v>
      </c>
      <c r="J24" s="32">
        <f>VLOOKUP(E24,'{LinDuva}_Module10_Locations'!$A$2:$D$8,3,FALSE)</f>
        <v>36.130000000000003</v>
      </c>
      <c r="K24" s="32">
        <f>VLOOKUP(E24,'{LinDuva}_Module10_Locations'!$A$2:$D$8,4,FALSE)</f>
        <v>-111.4</v>
      </c>
      <c r="L24" s="34">
        <f t="shared" si="0"/>
        <v>205.4676641226059</v>
      </c>
      <c r="M24" s="65" t="s">
        <v>7</v>
      </c>
      <c r="N24" s="69">
        <v>1</v>
      </c>
      <c r="O24" s="51">
        <v>98</v>
      </c>
      <c r="P24" s="41">
        <v>1</v>
      </c>
    </row>
    <row r="25" spans="2:19" x14ac:dyDescent="0.2">
      <c r="B25" s="16">
        <v>0</v>
      </c>
      <c r="C25" s="26">
        <v>7</v>
      </c>
      <c r="D25" s="22" t="str">
        <f>VLOOKUP(C25,$R$3:$S$9,2,FALSE)</f>
        <v>Turkish Delight Tundra</v>
      </c>
      <c r="E25" s="28">
        <v>4</v>
      </c>
      <c r="F25" s="24" t="str">
        <f>_xlfn.XLOOKUP(E25,$R$3:$R$9,$S$3:$S$9)</f>
        <v>Gingerbread Glades</v>
      </c>
      <c r="G25" s="45">
        <v>12</v>
      </c>
      <c r="H25" s="30">
        <f>VLOOKUP(C25,'{LinDuva}_Module10_Locations'!$A$2:$D$8,3,FALSE)</f>
        <v>41.57</v>
      </c>
      <c r="I25" s="26">
        <f>VLOOKUP(C25,'{LinDuva}_Module10_Locations'!$A$2:$D$8,4,FALSE)</f>
        <v>-92.9</v>
      </c>
      <c r="J25" s="32">
        <f>VLOOKUP(E25,'{LinDuva}_Module10_Locations'!$A$2:$D$8,3,FALSE)</f>
        <v>36.54</v>
      </c>
      <c r="K25" s="32">
        <f>VLOOKUP(E25,'{LinDuva}_Module10_Locations'!$A$2:$D$8,4,FALSE)</f>
        <v>-90.7</v>
      </c>
      <c r="L25" s="34">
        <f t="shared" si="0"/>
        <v>185.1275195642182</v>
      </c>
      <c r="M25" s="65" t="s">
        <v>7</v>
      </c>
      <c r="N25" s="69">
        <v>1</v>
      </c>
      <c r="O25" s="50">
        <v>31</v>
      </c>
      <c r="P25" s="43">
        <v>0</v>
      </c>
    </row>
    <row r="26" spans="2:19" ht="17" thickBot="1" x14ac:dyDescent="0.25">
      <c r="B26" s="17">
        <v>0</v>
      </c>
      <c r="C26" s="27">
        <v>7</v>
      </c>
      <c r="D26" s="23" t="str">
        <f>VLOOKUP(C26,$R$3:$S$9,2,FALSE)</f>
        <v>Turkish Delight Tundra</v>
      </c>
      <c r="E26" s="29">
        <v>5</v>
      </c>
      <c r="F26" s="25" t="str">
        <f>_xlfn.XLOOKUP(E26,$R$3:$R$9,$S$3:$S$9)</f>
        <v>Molten Mocha Marsh</v>
      </c>
      <c r="G26" s="46">
        <v>19</v>
      </c>
      <c r="H26" s="31">
        <f>VLOOKUP(C26,'{LinDuva}_Module10_Locations'!$A$2:$D$8,3,FALSE)</f>
        <v>41.57</v>
      </c>
      <c r="I26" s="27">
        <f>VLOOKUP(C26,'{LinDuva}_Module10_Locations'!$A$2:$D$8,4,FALSE)</f>
        <v>-92.9</v>
      </c>
      <c r="J26" s="33">
        <f>VLOOKUP(E26,'{LinDuva}_Module10_Locations'!$A$2:$D$8,3,FALSE)</f>
        <v>36.130000000000003</v>
      </c>
      <c r="K26" s="33">
        <f>VLOOKUP(E26,'{LinDuva}_Module10_Locations'!$A$2:$D$8,4,FALSE)</f>
        <v>-111.4</v>
      </c>
      <c r="L26" s="35">
        <f t="shared" si="0"/>
        <v>199.61783938315733</v>
      </c>
      <c r="M26" s="67" t="s">
        <v>11</v>
      </c>
      <c r="N26" s="71">
        <v>0</v>
      </c>
      <c r="O26" s="63">
        <v>93</v>
      </c>
      <c r="P26" s="42">
        <v>1</v>
      </c>
    </row>
    <row r="28" spans="2:19" x14ac:dyDescent="0.2">
      <c r="M28" s="44"/>
      <c r="N28" s="44" t="s">
        <v>45</v>
      </c>
      <c r="P28" s="49" t="s">
        <v>54</v>
      </c>
      <c r="Q28" s="49"/>
    </row>
    <row r="29" spans="2:19" x14ac:dyDescent="0.2">
      <c r="N29" t="s">
        <v>46</v>
      </c>
      <c r="O29" s="2">
        <f>SUMPRODUCT($B$3:$B$26,$G$3:$G$26)</f>
        <v>243067</v>
      </c>
      <c r="P29" s="2">
        <v>213777</v>
      </c>
      <c r="Q29" s="52"/>
    </row>
    <row r="30" spans="2:19" x14ac:dyDescent="0.2">
      <c r="N30" t="s">
        <v>47</v>
      </c>
      <c r="O30" s="2">
        <f>SUMPRODUCT($L$3:$L$26,$B$3:$B$26)</f>
        <v>2902018.8718317677</v>
      </c>
      <c r="P30" s="2">
        <v>2899563.45648439</v>
      </c>
      <c r="Q30" s="2"/>
    </row>
    <row r="31" spans="2:19" x14ac:dyDescent="0.2">
      <c r="H31" s="4"/>
      <c r="N31" t="s">
        <v>48</v>
      </c>
      <c r="O31">
        <f>SUMPRODUCT($N$3:$N$26,$B$3:$B$26)</f>
        <v>14418</v>
      </c>
      <c r="P31">
        <v>14418</v>
      </c>
    </row>
    <row r="32" spans="2:19" x14ac:dyDescent="0.2">
      <c r="N32" t="s">
        <v>49</v>
      </c>
      <c r="O32">
        <f>SUMPRODUCT($P$3:$P$26,$B$3:$B$26)</f>
        <v>6488</v>
      </c>
      <c r="P32">
        <f>SUMPRODUCT($P$3:$P$26,$B$3:$B$26)</f>
        <v>6488</v>
      </c>
    </row>
    <row r="33" spans="12:19" ht="17" thickBot="1" x14ac:dyDescent="0.25"/>
    <row r="34" spans="12:19" x14ac:dyDescent="0.2">
      <c r="M34" s="59" t="s">
        <v>45</v>
      </c>
      <c r="N34" s="60" t="s">
        <v>55</v>
      </c>
      <c r="O34" s="60" t="s">
        <v>57</v>
      </c>
      <c r="P34" s="60" t="s">
        <v>56</v>
      </c>
      <c r="Q34" s="60" t="s">
        <v>58</v>
      </c>
      <c r="R34" s="60" t="s">
        <v>59</v>
      </c>
      <c r="S34" s="61" t="s">
        <v>60</v>
      </c>
    </row>
    <row r="35" spans="12:19" x14ac:dyDescent="0.2">
      <c r="M35" s="3" t="s">
        <v>46</v>
      </c>
      <c r="N35" s="52">
        <f>SUMPRODUCT($B$3:$B$26,$G$3:$G$26)</f>
        <v>243067</v>
      </c>
      <c r="O35" s="52">
        <v>213777</v>
      </c>
      <c r="P35" s="53">
        <f>N35-O35</f>
        <v>29290</v>
      </c>
      <c r="Q35" s="72">
        <f>P35/O35</f>
        <v>0.13701193299559822</v>
      </c>
      <c r="R35" s="4">
        <v>1</v>
      </c>
      <c r="S35" s="74">
        <f>R35*Q35</f>
        <v>0.13701193299559822</v>
      </c>
    </row>
    <row r="36" spans="12:19" x14ac:dyDescent="0.2">
      <c r="M36" s="3" t="s">
        <v>47</v>
      </c>
      <c r="N36" s="54">
        <f>SUMPRODUCT($L$3:$L$26,$B$3:$B$26)</f>
        <v>2902018.8718317677</v>
      </c>
      <c r="O36" s="52">
        <v>2899563.45648439</v>
      </c>
      <c r="P36" s="53">
        <f>N36-O36</f>
        <v>2455.4153473777696</v>
      </c>
      <c r="Q36" s="72">
        <f t="shared" ref="Q36:Q38" si="4">P36/O36</f>
        <v>8.4682242145335464E-4</v>
      </c>
      <c r="R36" s="4">
        <v>1</v>
      </c>
      <c r="S36" s="74">
        <f t="shared" ref="S36:S38" si="5">R36*Q36</f>
        <v>8.4682242145335464E-4</v>
      </c>
    </row>
    <row r="37" spans="12:19" x14ac:dyDescent="0.2">
      <c r="M37" s="3" t="s">
        <v>48</v>
      </c>
      <c r="N37" s="55">
        <f>SUMPRODUCT($N$3:$N$26,$B$3:$B$26)</f>
        <v>14418</v>
      </c>
      <c r="O37" s="4">
        <v>14418</v>
      </c>
      <c r="P37" s="56">
        <f t="shared" ref="P36:P38" si="6">N37-O37</f>
        <v>0</v>
      </c>
      <c r="Q37" s="72">
        <f t="shared" si="4"/>
        <v>0</v>
      </c>
      <c r="R37" s="4">
        <v>1</v>
      </c>
      <c r="S37" s="74">
        <f t="shared" si="5"/>
        <v>0</v>
      </c>
    </row>
    <row r="38" spans="12:19" ht="17" thickBot="1" x14ac:dyDescent="0.25">
      <c r="M38" s="5" t="s">
        <v>49</v>
      </c>
      <c r="N38" s="57">
        <f>SUMPRODUCT($P$3:$P$26,$B$3:$B$26)</f>
        <v>6488</v>
      </c>
      <c r="O38" s="6">
        <f>SUMPRODUCT($P$3:$P$26,$B$3:$B$26)</f>
        <v>6488</v>
      </c>
      <c r="P38" s="58">
        <f t="shared" si="6"/>
        <v>0</v>
      </c>
      <c r="Q38" s="73">
        <f t="shared" si="4"/>
        <v>0</v>
      </c>
      <c r="R38" s="6">
        <v>1</v>
      </c>
      <c r="S38" s="75">
        <f t="shared" si="5"/>
        <v>0</v>
      </c>
    </row>
    <row r="39" spans="12:19" ht="17" thickBot="1" x14ac:dyDescent="0.25">
      <c r="M39" s="1"/>
      <c r="N39" s="1"/>
      <c r="O39" s="1"/>
    </row>
    <row r="40" spans="12:19" ht="17" thickBot="1" x14ac:dyDescent="0.25">
      <c r="L40" s="78" t="s">
        <v>52</v>
      </c>
      <c r="M40" s="77">
        <v>0.16924823615278362</v>
      </c>
      <c r="N40" s="76"/>
      <c r="O40" s="1"/>
    </row>
    <row r="41" spans="12:19" x14ac:dyDescent="0.2">
      <c r="M41" s="1"/>
      <c r="N41" s="1"/>
      <c r="O41" s="1"/>
    </row>
  </sheetData>
  <mergeCells count="5">
    <mergeCell ref="R2:S2"/>
    <mergeCell ref="C2:D2"/>
    <mergeCell ref="E2:F2"/>
    <mergeCell ref="S12:T12"/>
    <mergeCell ref="S15:T15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{LinDuva}_Module10_Connections</vt:lpstr>
      <vt:lpstr>{LinDuva}_Module10_Locations</vt:lpstr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Gonzales</cp:lastModifiedBy>
  <dcterms:created xsi:type="dcterms:W3CDTF">2025-04-23T15:09:37Z</dcterms:created>
  <dcterms:modified xsi:type="dcterms:W3CDTF">2025-04-23T15:09:37Z</dcterms:modified>
</cp:coreProperties>
</file>