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Joao Orvalho\Downloads\"/>
    </mc:Choice>
  </mc:AlternateContent>
  <bookViews>
    <workbookView xWindow="0" yWindow="0" windowWidth="16716" windowHeight="9996"/>
  </bookViews>
  <sheets>
    <sheet name="Dados excel" sheetId="1" r:id="rId1"/>
    <sheet name="folha de calculos" sheetId="2" r:id="rId2"/>
    <sheet name="tabelas dinâmicas" sheetId="3" r:id="rId3"/>
    <sheet name="Folha10" sheetId="4" r:id="rId4"/>
    <sheet name="Gráficos" sheetId="5" r:id="rId5"/>
  </sheets>
  <definedNames>
    <definedName name="Z_CA7198DD_06BD_46F4_AC0D_6AD89E201AA3_.wvu.FilterData" localSheetId="0" hidden="1">'Dados excel'!$A$1:$Q$233</definedName>
  </definedNames>
  <calcPr calcId="162913"/>
  <customWorkbookViews>
    <customWorkbookView name="Filtro 1" guid="{CA7198DD-06BD-46F4-AC0D-6AD89E201AA3}" maximized="1" windowWidth="0" windowHeight="0" activeSheetId="0"/>
  </customWorkbookViews>
  <pivotCaches>
    <pivotCache cacheId="1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5" i="1" l="1"/>
  <c r="E232" i="1"/>
  <c r="E227" i="1"/>
  <c r="E53" i="3" l="1"/>
  <c r="E52" i="3"/>
  <c r="E51" i="3"/>
  <c r="E50" i="3"/>
  <c r="BF43" i="3"/>
  <c r="AX43" i="3"/>
  <c r="AO43" i="3"/>
  <c r="BF42" i="3"/>
  <c r="AX42" i="3"/>
  <c r="AO42" i="3"/>
  <c r="AG42" i="3"/>
  <c r="BF41" i="3"/>
  <c r="AX41" i="3"/>
  <c r="AO41" i="3"/>
  <c r="AG41" i="3"/>
  <c r="BF40" i="3"/>
  <c r="AX40" i="3"/>
  <c r="AO40" i="3"/>
  <c r="AG40" i="3"/>
  <c r="BF39" i="3"/>
  <c r="AX39" i="3"/>
  <c r="AO39" i="3"/>
  <c r="AG39" i="3"/>
  <c r="BF38" i="3"/>
  <c r="AX38" i="3"/>
  <c r="AO38" i="3"/>
  <c r="AG38" i="3"/>
  <c r="X38" i="3"/>
  <c r="P38" i="3"/>
  <c r="BF37" i="3"/>
  <c r="AX37" i="3"/>
  <c r="AO37" i="3"/>
  <c r="AG37" i="3"/>
  <c r="X37" i="3"/>
  <c r="P37" i="3"/>
  <c r="E37" i="3"/>
  <c r="BF36" i="3"/>
  <c r="AX36" i="3"/>
  <c r="AO36" i="3"/>
  <c r="AG36" i="3"/>
  <c r="X36" i="3"/>
  <c r="P36" i="3"/>
  <c r="E36" i="3"/>
  <c r="BF35" i="3"/>
  <c r="AX35" i="3"/>
  <c r="AO35" i="3"/>
  <c r="AG35" i="3"/>
  <c r="X35" i="3"/>
  <c r="P35" i="3"/>
  <c r="E35" i="3"/>
  <c r="BF34" i="3"/>
  <c r="AX34" i="3"/>
  <c r="AO34" i="3"/>
  <c r="AG34" i="3"/>
  <c r="X34" i="3"/>
  <c r="P34" i="3"/>
  <c r="E34" i="3"/>
  <c r="BF33" i="3"/>
  <c r="AX33" i="3"/>
  <c r="AO33" i="3"/>
  <c r="AG33" i="3"/>
  <c r="X33" i="3"/>
  <c r="P33" i="3"/>
  <c r="E33" i="3"/>
  <c r="BF32" i="3"/>
  <c r="AX32" i="3"/>
  <c r="AO32" i="3"/>
  <c r="AG32" i="3"/>
  <c r="X32" i="3"/>
  <c r="P32" i="3"/>
  <c r="E32" i="3"/>
  <c r="BF31" i="3"/>
  <c r="AX31" i="3"/>
  <c r="AO31" i="3"/>
  <c r="AG31" i="3"/>
  <c r="X31" i="3"/>
  <c r="P31" i="3"/>
  <c r="E31" i="3"/>
  <c r="BF30" i="3"/>
  <c r="AX30" i="3"/>
  <c r="AO30" i="3"/>
  <c r="AG30" i="3"/>
  <c r="X30" i="3"/>
  <c r="P30" i="3"/>
  <c r="E30" i="3"/>
  <c r="X29" i="3"/>
  <c r="P29" i="3"/>
  <c r="E29" i="3"/>
  <c r="X28" i="3"/>
  <c r="P28" i="3"/>
  <c r="E28" i="3"/>
  <c r="X27" i="3"/>
  <c r="P27" i="3"/>
  <c r="E27" i="3"/>
  <c r="X26" i="3"/>
  <c r="P26" i="3"/>
  <c r="E26" i="3"/>
  <c r="X25" i="3"/>
  <c r="P25" i="3"/>
  <c r="E25" i="3"/>
  <c r="E24" i="3"/>
  <c r="P18" i="3"/>
  <c r="P17" i="3"/>
  <c r="P16" i="3"/>
  <c r="P15" i="3"/>
  <c r="P14" i="3"/>
  <c r="P13" i="3"/>
  <c r="AZ12" i="3"/>
  <c r="AS12" i="3"/>
  <c r="AL12" i="3"/>
  <c r="AF12" i="3"/>
  <c r="P12" i="3"/>
  <c r="AZ11" i="3"/>
  <c r="AS11" i="3"/>
  <c r="AL11" i="3"/>
  <c r="AF11" i="3"/>
  <c r="Y11" i="3"/>
  <c r="P11" i="3"/>
  <c r="AZ10" i="3"/>
  <c r="AS10" i="3"/>
  <c r="AL10" i="3"/>
  <c r="AF10" i="3"/>
  <c r="Y10" i="3"/>
  <c r="P10" i="3"/>
  <c r="E10" i="3"/>
  <c r="AZ9" i="3"/>
  <c r="AS9" i="3"/>
  <c r="AL9" i="3"/>
  <c r="AF9" i="3"/>
  <c r="Y9" i="3"/>
  <c r="P9" i="3"/>
  <c r="E9" i="3"/>
  <c r="AZ8" i="3"/>
  <c r="AS8" i="3"/>
  <c r="AL8" i="3"/>
  <c r="AF8" i="3"/>
  <c r="Y8" i="3"/>
  <c r="P8" i="3"/>
  <c r="E8" i="3"/>
  <c r="AZ7" i="3"/>
  <c r="AS7" i="3"/>
  <c r="AL7" i="3"/>
  <c r="AL13" i="3" s="1"/>
  <c r="AF7" i="3"/>
  <c r="Y7" i="3"/>
  <c r="P7" i="3"/>
  <c r="E7" i="3"/>
  <c r="Y6" i="3"/>
  <c r="P6" i="3"/>
  <c r="E6" i="3"/>
  <c r="P5" i="3"/>
  <c r="E5" i="3"/>
  <c r="N208" i="2"/>
  <c r="M208" i="2"/>
  <c r="L208" i="2"/>
  <c r="I208" i="2"/>
  <c r="H208" i="2"/>
  <c r="G208" i="2"/>
  <c r="N207" i="2"/>
  <c r="M207" i="2"/>
  <c r="L207" i="2"/>
  <c r="I207" i="2"/>
  <c r="H207" i="2"/>
  <c r="G207" i="2"/>
  <c r="N206" i="2"/>
  <c r="M206" i="2"/>
  <c r="L206" i="2"/>
  <c r="I206" i="2"/>
  <c r="H206" i="2"/>
  <c r="G206" i="2"/>
  <c r="N205" i="2"/>
  <c r="M205" i="2"/>
  <c r="L205" i="2"/>
  <c r="I205" i="2"/>
  <c r="H205" i="2"/>
  <c r="G205" i="2"/>
  <c r="N204" i="2"/>
  <c r="M204" i="2"/>
  <c r="L204" i="2"/>
  <c r="I204" i="2"/>
  <c r="H204" i="2"/>
  <c r="G204" i="2"/>
  <c r="N203" i="2"/>
  <c r="M203" i="2"/>
  <c r="L203" i="2"/>
  <c r="I203" i="2"/>
  <c r="H203" i="2"/>
  <c r="G203" i="2"/>
  <c r="N202" i="2"/>
  <c r="M202" i="2"/>
  <c r="L202" i="2"/>
  <c r="I202" i="2"/>
  <c r="H202" i="2"/>
  <c r="G202" i="2"/>
  <c r="N201" i="2"/>
  <c r="M201" i="2"/>
  <c r="L201" i="2"/>
  <c r="I201" i="2"/>
  <c r="H201" i="2"/>
  <c r="G201" i="2"/>
  <c r="N200" i="2"/>
  <c r="M200" i="2"/>
  <c r="L200" i="2"/>
  <c r="I200" i="2"/>
  <c r="H200" i="2"/>
  <c r="G200" i="2"/>
  <c r="N199" i="2"/>
  <c r="M199" i="2"/>
  <c r="L199" i="2"/>
  <c r="I199" i="2"/>
  <c r="H199" i="2"/>
  <c r="G199" i="2"/>
  <c r="D199" i="2"/>
  <c r="C199" i="2"/>
  <c r="N198" i="2"/>
  <c r="M198" i="2"/>
  <c r="L198" i="2"/>
  <c r="I198" i="2"/>
  <c r="H198" i="2"/>
  <c r="G198" i="2"/>
  <c r="D198" i="2"/>
  <c r="C198" i="2"/>
  <c r="N197" i="2"/>
  <c r="M197" i="2"/>
  <c r="L197" i="2"/>
  <c r="I197" i="2"/>
  <c r="H197" i="2"/>
  <c r="G197" i="2"/>
  <c r="D197" i="2"/>
  <c r="C19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K180" i="2"/>
  <c r="J180" i="2"/>
  <c r="I180" i="2"/>
  <c r="F180" i="2"/>
  <c r="E180" i="2"/>
  <c r="D180" i="2"/>
  <c r="O179" i="2"/>
  <c r="N179" i="2"/>
  <c r="K179" i="2"/>
  <c r="J179" i="2"/>
  <c r="I179" i="2"/>
  <c r="F179" i="2"/>
  <c r="E179" i="2"/>
  <c r="D179" i="2"/>
  <c r="O178" i="2"/>
  <c r="N178" i="2"/>
  <c r="K178" i="2"/>
  <c r="J178" i="2"/>
  <c r="I178" i="2"/>
  <c r="F178" i="2"/>
  <c r="E178" i="2"/>
  <c r="D178" i="2"/>
  <c r="T177" i="2"/>
  <c r="S177" i="2"/>
  <c r="R177" i="2"/>
  <c r="O177" i="2"/>
  <c r="N177" i="2"/>
  <c r="K177" i="2"/>
  <c r="J177" i="2"/>
  <c r="I177" i="2"/>
  <c r="F177" i="2"/>
  <c r="E177" i="2"/>
  <c r="D177" i="2"/>
  <c r="T176" i="2"/>
  <c r="S176" i="2"/>
  <c r="R176" i="2"/>
  <c r="O176" i="2"/>
  <c r="N176" i="2"/>
  <c r="K176" i="2"/>
  <c r="J176" i="2"/>
  <c r="I176" i="2"/>
  <c r="F176" i="2"/>
  <c r="E176" i="2"/>
  <c r="D176" i="2"/>
  <c r="T175" i="2"/>
  <c r="S175" i="2"/>
  <c r="R175" i="2"/>
  <c r="O175" i="2"/>
  <c r="N175" i="2"/>
  <c r="K175" i="2"/>
  <c r="J175" i="2"/>
  <c r="I175" i="2"/>
  <c r="F175" i="2"/>
  <c r="E175" i="2"/>
  <c r="D175" i="2"/>
  <c r="C168" i="2"/>
  <c r="X167" i="2"/>
  <c r="V167" i="2"/>
  <c r="U167" i="2"/>
  <c r="R167" i="2"/>
  <c r="Q167" i="2"/>
  <c r="K167" i="2"/>
  <c r="J167" i="2"/>
  <c r="I167" i="2"/>
  <c r="H167" i="2"/>
  <c r="G167" i="2"/>
  <c r="F167" i="2"/>
  <c r="C167" i="2"/>
  <c r="X166" i="2"/>
  <c r="V166" i="2"/>
  <c r="U166" i="2"/>
  <c r="R166" i="2"/>
  <c r="Q166" i="2"/>
  <c r="K166" i="2"/>
  <c r="J166" i="2"/>
  <c r="I166" i="2"/>
  <c r="H166" i="2"/>
  <c r="G166" i="2"/>
  <c r="F166" i="2"/>
  <c r="C166" i="2"/>
  <c r="X165" i="2"/>
  <c r="V165" i="2"/>
  <c r="U165" i="2"/>
  <c r="R165" i="2"/>
  <c r="Q165" i="2"/>
  <c r="K165" i="2"/>
  <c r="J165" i="2"/>
  <c r="I165" i="2"/>
  <c r="H165" i="2"/>
  <c r="G165" i="2"/>
  <c r="F165" i="2"/>
  <c r="C165" i="2"/>
  <c r="X164" i="2"/>
  <c r="V164" i="2"/>
  <c r="U164" i="2"/>
  <c r="R164" i="2"/>
  <c r="Q164" i="2"/>
  <c r="K164" i="2"/>
  <c r="J164" i="2"/>
  <c r="I164" i="2"/>
  <c r="H164" i="2"/>
  <c r="G164" i="2"/>
  <c r="F164" i="2"/>
  <c r="C164" i="2"/>
  <c r="X163" i="2"/>
  <c r="V163" i="2"/>
  <c r="U163" i="2"/>
  <c r="R163" i="2"/>
  <c r="Q163" i="2"/>
  <c r="K163" i="2"/>
  <c r="J163" i="2"/>
  <c r="I163" i="2"/>
  <c r="H163" i="2"/>
  <c r="G163" i="2"/>
  <c r="F163" i="2"/>
  <c r="C163" i="2"/>
  <c r="X162" i="2"/>
  <c r="V162" i="2"/>
  <c r="U162" i="2"/>
  <c r="R162" i="2"/>
  <c r="Q162" i="2"/>
  <c r="K162" i="2"/>
  <c r="J162" i="2"/>
  <c r="I162" i="2"/>
  <c r="H162" i="2"/>
  <c r="G162" i="2"/>
  <c r="F162" i="2"/>
  <c r="C162" i="2"/>
  <c r="X161" i="2"/>
  <c r="V161" i="2"/>
  <c r="U161" i="2"/>
  <c r="R161" i="2"/>
  <c r="Q161" i="2"/>
  <c r="K161" i="2"/>
  <c r="J161" i="2"/>
  <c r="I161" i="2"/>
  <c r="H161" i="2"/>
  <c r="G161" i="2"/>
  <c r="F161" i="2"/>
  <c r="C161" i="2"/>
  <c r="X160" i="2"/>
  <c r="V160" i="2"/>
  <c r="U160" i="2"/>
  <c r="R160" i="2"/>
  <c r="Q160" i="2"/>
  <c r="K160" i="2"/>
  <c r="J160" i="2"/>
  <c r="I160" i="2"/>
  <c r="H160" i="2"/>
  <c r="G160" i="2"/>
  <c r="F160" i="2"/>
  <c r="C160" i="2"/>
  <c r="AC159" i="2"/>
  <c r="AB159" i="2"/>
  <c r="AA159" i="2"/>
  <c r="X159" i="2"/>
  <c r="V159" i="2"/>
  <c r="U159" i="2"/>
  <c r="R159" i="2"/>
  <c r="Q159" i="2"/>
  <c r="K159" i="2"/>
  <c r="J159" i="2"/>
  <c r="I159" i="2"/>
  <c r="H159" i="2"/>
  <c r="G159" i="2"/>
  <c r="F159" i="2"/>
  <c r="C159" i="2"/>
  <c r="C169" i="2" s="1"/>
  <c r="AC158" i="2"/>
  <c r="AB158" i="2"/>
  <c r="AA158" i="2"/>
  <c r="X158" i="2"/>
  <c r="V158" i="2"/>
  <c r="U158" i="2"/>
  <c r="R158" i="2"/>
  <c r="Q158" i="2"/>
  <c r="K158" i="2"/>
  <c r="J158" i="2"/>
  <c r="I158" i="2"/>
  <c r="H158" i="2"/>
  <c r="G158" i="2"/>
  <c r="F158" i="2"/>
  <c r="C158" i="2"/>
  <c r="AC157" i="2"/>
  <c r="AB157" i="2"/>
  <c r="AA157" i="2"/>
  <c r="X157" i="2"/>
  <c r="V157" i="2"/>
  <c r="U157" i="2"/>
  <c r="R157" i="2"/>
  <c r="Q157" i="2"/>
  <c r="K157" i="2"/>
  <c r="J157" i="2"/>
  <c r="I157" i="2"/>
  <c r="H157" i="2"/>
  <c r="G157" i="2"/>
  <c r="F157" i="2"/>
  <c r="C157" i="2"/>
  <c r="AC156" i="2"/>
  <c r="AB156" i="2"/>
  <c r="AA156" i="2"/>
  <c r="X156" i="2"/>
  <c r="V156" i="2"/>
  <c r="U156" i="2"/>
  <c r="R156" i="2"/>
  <c r="Q156" i="2"/>
  <c r="K156" i="2"/>
  <c r="J156" i="2"/>
  <c r="I156" i="2"/>
  <c r="H156" i="2"/>
  <c r="G156" i="2"/>
  <c r="F156" i="2"/>
  <c r="AC155" i="2"/>
  <c r="AB155" i="2"/>
  <c r="AA155" i="2"/>
  <c r="AC154" i="2"/>
  <c r="AB154" i="2"/>
  <c r="AA154" i="2"/>
  <c r="AC153" i="2"/>
  <c r="AB153" i="2"/>
  <c r="AA153" i="2"/>
  <c r="AC152" i="2"/>
  <c r="AB152" i="2"/>
  <c r="AA152" i="2"/>
  <c r="AC151" i="2"/>
  <c r="AB151" i="2"/>
  <c r="AA151" i="2"/>
  <c r="S151" i="2"/>
  <c r="R151" i="2"/>
  <c r="H151" i="2"/>
  <c r="G151" i="2"/>
  <c r="F151" i="2"/>
  <c r="E151" i="2"/>
  <c r="D151" i="2"/>
  <c r="C151" i="2"/>
  <c r="AC150" i="2"/>
  <c r="AB150" i="2"/>
  <c r="AA150" i="2"/>
  <c r="S150" i="2"/>
  <c r="R150" i="2"/>
  <c r="H150" i="2"/>
  <c r="G150" i="2"/>
  <c r="F150" i="2"/>
  <c r="E150" i="2"/>
  <c r="D150" i="2"/>
  <c r="C150" i="2"/>
  <c r="AC149" i="2"/>
  <c r="AB149" i="2"/>
  <c r="AA149" i="2"/>
  <c r="S149" i="2"/>
  <c r="R149" i="2"/>
  <c r="H149" i="2"/>
  <c r="G149" i="2"/>
  <c r="F149" i="2"/>
  <c r="E149" i="2"/>
  <c r="D149" i="2"/>
  <c r="C149" i="2"/>
  <c r="AC148" i="2"/>
  <c r="AB148" i="2"/>
  <c r="AA148" i="2"/>
  <c r="S148" i="2"/>
  <c r="R148" i="2"/>
  <c r="H148" i="2"/>
  <c r="G148" i="2"/>
  <c r="F148" i="2"/>
  <c r="E148" i="2"/>
  <c r="D148" i="2"/>
  <c r="C148" i="2"/>
  <c r="S147" i="2"/>
  <c r="R147" i="2"/>
  <c r="H147" i="2"/>
  <c r="G147" i="2"/>
  <c r="F147" i="2"/>
  <c r="E147" i="2"/>
  <c r="D147" i="2"/>
  <c r="C147" i="2"/>
  <c r="S146" i="2"/>
  <c r="R146" i="2"/>
  <c r="H146" i="2"/>
  <c r="G146" i="2"/>
  <c r="F146" i="2"/>
  <c r="E146" i="2"/>
  <c r="D146" i="2"/>
  <c r="C146" i="2"/>
  <c r="S145" i="2"/>
  <c r="R145" i="2"/>
  <c r="N145" i="2"/>
  <c r="M145" i="2"/>
  <c r="L145" i="2"/>
  <c r="H145" i="2"/>
  <c r="G145" i="2"/>
  <c r="F145" i="2"/>
  <c r="E145" i="2"/>
  <c r="D145" i="2"/>
  <c r="C145" i="2"/>
  <c r="S144" i="2"/>
  <c r="R144" i="2"/>
  <c r="N144" i="2"/>
  <c r="M144" i="2"/>
  <c r="L144" i="2"/>
  <c r="H144" i="2"/>
  <c r="G144" i="2"/>
  <c r="F144" i="2"/>
  <c r="E144" i="2"/>
  <c r="D144" i="2"/>
  <c r="C144" i="2"/>
  <c r="S143" i="2"/>
  <c r="R143" i="2"/>
  <c r="N143" i="2"/>
  <c r="M143" i="2"/>
  <c r="L143" i="2"/>
  <c r="H143" i="2"/>
  <c r="G143" i="2"/>
  <c r="F143" i="2"/>
  <c r="E143" i="2"/>
  <c r="D143" i="2"/>
  <c r="C143" i="2"/>
  <c r="S142" i="2"/>
  <c r="R142" i="2"/>
  <c r="N142" i="2"/>
  <c r="M142" i="2"/>
  <c r="L142" i="2"/>
  <c r="H142" i="2"/>
  <c r="G142" i="2"/>
  <c r="F142" i="2"/>
  <c r="E142" i="2"/>
  <c r="D142" i="2"/>
  <c r="C142" i="2"/>
  <c r="AH141" i="2"/>
  <c r="AG141" i="2"/>
  <c r="AF141" i="2"/>
  <c r="AC141" i="2"/>
  <c r="AB141" i="2"/>
  <c r="Y141" i="2"/>
  <c r="W141" i="2"/>
  <c r="V141" i="2"/>
  <c r="S141" i="2"/>
  <c r="R141" i="2"/>
  <c r="N141" i="2"/>
  <c r="M141" i="2"/>
  <c r="L141" i="2"/>
  <c r="H141" i="2"/>
  <c r="G141" i="2"/>
  <c r="F141" i="2"/>
  <c r="E141" i="2"/>
  <c r="D141" i="2"/>
  <c r="C141" i="2"/>
  <c r="AH140" i="2"/>
  <c r="AG140" i="2"/>
  <c r="AF140" i="2"/>
  <c r="AC140" i="2"/>
  <c r="AB140" i="2"/>
  <c r="Y140" i="2"/>
  <c r="W140" i="2"/>
  <c r="V140" i="2"/>
  <c r="S140" i="2"/>
  <c r="R140" i="2"/>
  <c r="N140" i="2"/>
  <c r="M140" i="2"/>
  <c r="L140" i="2"/>
  <c r="H140" i="2"/>
  <c r="G140" i="2"/>
  <c r="F140" i="2"/>
  <c r="E140" i="2"/>
  <c r="D140" i="2"/>
  <c r="C140" i="2"/>
  <c r="AH139" i="2"/>
  <c r="AG139" i="2"/>
  <c r="AF139" i="2"/>
  <c r="AC139" i="2"/>
  <c r="AB139" i="2"/>
  <c r="Y139" i="2"/>
  <c r="W139" i="2"/>
  <c r="V139" i="2"/>
  <c r="AH138" i="2"/>
  <c r="AG138" i="2"/>
  <c r="AF138" i="2"/>
  <c r="AC138" i="2"/>
  <c r="AB138" i="2"/>
  <c r="Y138" i="2"/>
  <c r="W138" i="2"/>
  <c r="V138" i="2"/>
  <c r="AH137" i="2"/>
  <c r="AG137" i="2"/>
  <c r="AF137" i="2"/>
  <c r="AC137" i="2"/>
  <c r="AB137" i="2"/>
  <c r="Y137" i="2"/>
  <c r="W137" i="2"/>
  <c r="V137" i="2"/>
  <c r="AH136" i="2"/>
  <c r="AG136" i="2"/>
  <c r="AF136" i="2"/>
  <c r="AC136" i="2"/>
  <c r="AB136" i="2"/>
  <c r="Y136" i="2"/>
  <c r="W136" i="2"/>
  <c r="V136" i="2"/>
  <c r="AH135" i="2"/>
  <c r="AG135" i="2"/>
  <c r="AF135" i="2"/>
  <c r="AC135" i="2"/>
  <c r="AB135" i="2"/>
  <c r="Y135" i="2"/>
  <c r="W135" i="2"/>
  <c r="V135" i="2"/>
  <c r="R135" i="2"/>
  <c r="Q135" i="2"/>
  <c r="M135" i="2"/>
  <c r="L135" i="2"/>
  <c r="K135" i="2"/>
  <c r="J135" i="2"/>
  <c r="F135" i="2"/>
  <c r="D135" i="2"/>
  <c r="AH134" i="2"/>
  <c r="AG134" i="2"/>
  <c r="AF134" i="2"/>
  <c r="AC134" i="2"/>
  <c r="AB134" i="2"/>
  <c r="Y134" i="2"/>
  <c r="W134" i="2"/>
  <c r="V134" i="2"/>
  <c r="R134" i="2"/>
  <c r="Q134" i="2"/>
  <c r="M134" i="2"/>
  <c r="L134" i="2"/>
  <c r="K134" i="2"/>
  <c r="J134" i="2"/>
  <c r="F134" i="2"/>
  <c r="D134" i="2"/>
  <c r="AH133" i="2"/>
  <c r="AG133" i="2"/>
  <c r="AF133" i="2"/>
  <c r="AC133" i="2"/>
  <c r="AB133" i="2"/>
  <c r="Y133" i="2"/>
  <c r="W133" i="2"/>
  <c r="V133" i="2"/>
  <c r="Q133" i="2"/>
  <c r="M133" i="2"/>
  <c r="L133" i="2"/>
  <c r="K133" i="2"/>
  <c r="J133" i="2"/>
  <c r="F133" i="2"/>
  <c r="D133" i="2"/>
  <c r="AH132" i="2"/>
  <c r="AG132" i="2"/>
  <c r="AF132" i="2"/>
  <c r="AC132" i="2"/>
  <c r="AB132" i="2"/>
  <c r="Y132" i="2"/>
  <c r="W132" i="2"/>
  <c r="V132" i="2"/>
  <c r="R132" i="2"/>
  <c r="Q132" i="2"/>
  <c r="M132" i="2"/>
  <c r="L132" i="2"/>
  <c r="K132" i="2"/>
  <c r="J132" i="2"/>
  <c r="F132" i="2"/>
  <c r="D132" i="2"/>
  <c r="AH131" i="2"/>
  <c r="AG131" i="2"/>
  <c r="AF131" i="2"/>
  <c r="AC131" i="2"/>
  <c r="AB131" i="2"/>
  <c r="Y131" i="2"/>
  <c r="W131" i="2"/>
  <c r="V131" i="2"/>
  <c r="R131" i="2"/>
  <c r="Q131" i="2"/>
  <c r="M131" i="2"/>
  <c r="L131" i="2"/>
  <c r="K131" i="2"/>
  <c r="J131" i="2"/>
  <c r="F131" i="2"/>
  <c r="D131" i="2"/>
  <c r="AH130" i="2"/>
  <c r="AG130" i="2"/>
  <c r="AF130" i="2"/>
  <c r="AC130" i="2"/>
  <c r="AB130" i="2"/>
  <c r="Y130" i="2"/>
  <c r="W130" i="2"/>
  <c r="V130" i="2"/>
  <c r="R130" i="2"/>
  <c r="Q130" i="2"/>
  <c r="M130" i="2"/>
  <c r="L130" i="2"/>
  <c r="K130" i="2"/>
  <c r="J130" i="2"/>
  <c r="F130" i="2"/>
  <c r="D130" i="2"/>
  <c r="Y122" i="2"/>
  <c r="AA120" i="2" s="1"/>
  <c r="R122" i="2"/>
  <c r="K122" i="2"/>
  <c r="M121" i="2" s="1"/>
  <c r="D122" i="2"/>
  <c r="AA121" i="2"/>
  <c r="T121" i="2"/>
  <c r="F121" i="2"/>
  <c r="T120" i="2"/>
  <c r="F120" i="2"/>
  <c r="T119" i="2"/>
  <c r="T122" i="2" s="1"/>
  <c r="F119" i="2"/>
  <c r="F122" i="2" s="1"/>
  <c r="S113" i="2"/>
  <c r="T111" i="2" s="1"/>
  <c r="N113" i="2"/>
  <c r="O111" i="2" s="1"/>
  <c r="I113" i="2"/>
  <c r="J110" i="2" s="1"/>
  <c r="D113" i="2"/>
  <c r="E111" i="2" s="1"/>
  <c r="W112" i="2"/>
  <c r="X111" i="2" s="1"/>
  <c r="O112" i="2"/>
  <c r="E112" i="2"/>
  <c r="J111" i="2"/>
  <c r="O110" i="2"/>
  <c r="E110" i="2"/>
  <c r="W105" i="2"/>
  <c r="X102" i="2" s="1"/>
  <c r="S104" i="2"/>
  <c r="N104" i="2"/>
  <c r="I104" i="2"/>
  <c r="J103" i="2" s="1"/>
  <c r="J104" i="2" s="1"/>
  <c r="E104" i="2"/>
  <c r="D104" i="2"/>
  <c r="T103" i="2"/>
  <c r="O103" i="2"/>
  <c r="O104" i="2" s="1"/>
  <c r="E103" i="2"/>
  <c r="T102" i="2"/>
  <c r="T104" i="2" s="1"/>
  <c r="O102" i="2"/>
  <c r="J102" i="2"/>
  <c r="E102" i="2"/>
  <c r="X97" i="2"/>
  <c r="Y96" i="2"/>
  <c r="S96" i="2"/>
  <c r="T94" i="2" s="1"/>
  <c r="T96" i="2" s="1"/>
  <c r="N96" i="2"/>
  <c r="O95" i="2" s="1"/>
  <c r="I96" i="2"/>
  <c r="J94" i="2" s="1"/>
  <c r="D96" i="2"/>
  <c r="E95" i="2" s="1"/>
  <c r="Y95" i="2"/>
  <c r="T95" i="2"/>
  <c r="Y94" i="2"/>
  <c r="Y97" i="2" s="1"/>
  <c r="O94" i="2"/>
  <c r="E94" i="2"/>
  <c r="E96" i="2" s="1"/>
  <c r="S88" i="2"/>
  <c r="T86" i="2" s="1"/>
  <c r="N88" i="2"/>
  <c r="O86" i="2" s="1"/>
  <c r="I88" i="2"/>
  <c r="J86" i="2" s="1"/>
  <c r="D88" i="2"/>
  <c r="E87" i="2" s="1"/>
  <c r="E86" i="2"/>
  <c r="AC79" i="2"/>
  <c r="X79" i="2"/>
  <c r="S79" i="2"/>
  <c r="T77" i="2" s="1"/>
  <c r="T79" i="2" s="1"/>
  <c r="N79" i="2"/>
  <c r="O77" i="2" s="1"/>
  <c r="O79" i="2" s="1"/>
  <c r="I79" i="2"/>
  <c r="J78" i="2" s="1"/>
  <c r="D79" i="2"/>
  <c r="E77" i="2" s="1"/>
  <c r="AC78" i="2"/>
  <c r="X78" i="2"/>
  <c r="O78" i="2"/>
  <c r="AC77" i="2"/>
  <c r="AC80" i="2" s="1"/>
  <c r="X77" i="2"/>
  <c r="X80" i="2" s="1"/>
  <c r="S71" i="2"/>
  <c r="T70" i="2" s="1"/>
  <c r="N71" i="2"/>
  <c r="O70" i="2" s="1"/>
  <c r="I71" i="2"/>
  <c r="J70" i="2" s="1"/>
  <c r="D71" i="2"/>
  <c r="E70" i="2"/>
  <c r="E69" i="2"/>
  <c r="E68" i="2"/>
  <c r="E67" i="2"/>
  <c r="E66" i="2"/>
  <c r="E65" i="2"/>
  <c r="E71" i="2" s="1"/>
  <c r="S59" i="2"/>
  <c r="T58" i="2" s="1"/>
  <c r="N59" i="2"/>
  <c r="O58" i="2" s="1"/>
  <c r="I59" i="2"/>
  <c r="J58" i="2" s="1"/>
  <c r="D59" i="2"/>
  <c r="E58" i="2"/>
  <c r="E57" i="2"/>
  <c r="E56" i="2"/>
  <c r="E55" i="2"/>
  <c r="E59" i="2" s="1"/>
  <c r="O49" i="2"/>
  <c r="P48" i="2" s="1"/>
  <c r="K49" i="2"/>
  <c r="L48" i="2" s="1"/>
  <c r="G49" i="2"/>
  <c r="H48" i="2" s="1"/>
  <c r="C49" i="2"/>
  <c r="D48" i="2"/>
  <c r="D47" i="2"/>
  <c r="D46" i="2"/>
  <c r="D45" i="2"/>
  <c r="D44" i="2"/>
  <c r="D43" i="2"/>
  <c r="D42" i="2"/>
  <c r="D41" i="2"/>
  <c r="D40" i="2"/>
  <c r="D39" i="2"/>
  <c r="D38" i="2"/>
  <c r="D37" i="2"/>
  <c r="D49" i="2" s="1"/>
  <c r="U31" i="2"/>
  <c r="S31" i="2"/>
  <c r="D31" i="2"/>
  <c r="C31" i="2"/>
  <c r="X30" i="2"/>
  <c r="V30" i="2"/>
  <c r="W30" i="2" s="1"/>
  <c r="T30" i="2"/>
  <c r="P30" i="2"/>
  <c r="O30" i="2"/>
  <c r="L30" i="2"/>
  <c r="K30" i="2"/>
  <c r="H30" i="2"/>
  <c r="G30" i="2"/>
  <c r="D30" i="2"/>
  <c r="X29" i="2"/>
  <c r="V29" i="2"/>
  <c r="T29" i="2"/>
  <c r="W29" i="2" s="1"/>
  <c r="P29" i="2"/>
  <c r="L29" i="2"/>
  <c r="H29" i="2"/>
  <c r="D29" i="2"/>
  <c r="X28" i="2"/>
  <c r="X31" i="2" s="1"/>
  <c r="V28" i="2"/>
  <c r="T28" i="2"/>
  <c r="W28" i="2" s="1"/>
  <c r="P28" i="2"/>
  <c r="L28" i="2"/>
  <c r="H28" i="2"/>
  <c r="D28" i="2"/>
  <c r="O22" i="2"/>
  <c r="P21" i="2" s="1"/>
  <c r="K22" i="2"/>
  <c r="L21" i="2" s="1"/>
  <c r="G22" i="2"/>
  <c r="H21" i="2" s="1"/>
  <c r="C22" i="2"/>
  <c r="D21" i="2"/>
  <c r="D20" i="2"/>
  <c r="D19" i="2"/>
  <c r="D18" i="2"/>
  <c r="D17" i="2"/>
  <c r="D16" i="2"/>
  <c r="D22" i="2" s="1"/>
  <c r="C10" i="2"/>
  <c r="D9" i="2" s="1"/>
  <c r="D8" i="2"/>
  <c r="E231" i="1"/>
  <c r="E230" i="1"/>
  <c r="E229" i="1"/>
  <c r="C229" i="1"/>
  <c r="E228" i="1"/>
  <c r="C228" i="1"/>
  <c r="C227" i="1"/>
  <c r="C230" i="1" s="1"/>
  <c r="E233" i="1" l="1"/>
  <c r="AS13" i="3"/>
  <c r="Y12" i="3"/>
  <c r="E11" i="3"/>
  <c r="AZ13" i="3"/>
  <c r="AG43" i="3"/>
  <c r="AF13" i="3"/>
  <c r="O113" i="2"/>
  <c r="E113" i="2"/>
  <c r="O96" i="2"/>
  <c r="J113" i="2"/>
  <c r="H16" i="2"/>
  <c r="H22" i="2" s="1"/>
  <c r="H18" i="2"/>
  <c r="H20" i="2"/>
  <c r="H37" i="2"/>
  <c r="H39" i="2"/>
  <c r="H41" i="2"/>
  <c r="H43" i="2"/>
  <c r="H45" i="2"/>
  <c r="H47" i="2"/>
  <c r="J55" i="2"/>
  <c r="J59" i="2" s="1"/>
  <c r="J57" i="2"/>
  <c r="J65" i="2"/>
  <c r="J67" i="2"/>
  <c r="J69" i="2"/>
  <c r="J77" i="2"/>
  <c r="J79" i="2" s="1"/>
  <c r="T78" i="2"/>
  <c r="J85" i="2"/>
  <c r="J88" i="2" s="1"/>
  <c r="J87" i="2"/>
  <c r="T110" i="2"/>
  <c r="J112" i="2"/>
  <c r="AA119" i="2"/>
  <c r="AA122" i="2" s="1"/>
  <c r="L16" i="2"/>
  <c r="L18" i="2"/>
  <c r="L20" i="2"/>
  <c r="L37" i="2"/>
  <c r="L39" i="2"/>
  <c r="L41" i="2"/>
  <c r="L43" i="2"/>
  <c r="L45" i="2"/>
  <c r="L47" i="2"/>
  <c r="O55" i="2"/>
  <c r="O57" i="2"/>
  <c r="O65" i="2"/>
  <c r="O71" i="2" s="1"/>
  <c r="O67" i="2"/>
  <c r="O69" i="2"/>
  <c r="O85" i="2"/>
  <c r="O87" i="2"/>
  <c r="J95" i="2"/>
  <c r="J96" i="2" s="1"/>
  <c r="X103" i="2"/>
  <c r="X105" i="2" s="1"/>
  <c r="X110" i="2"/>
  <c r="X112" i="2" s="1"/>
  <c r="D7" i="2"/>
  <c r="D10" i="2" s="1"/>
  <c r="P16" i="2"/>
  <c r="P18" i="2"/>
  <c r="P20" i="2"/>
  <c r="P37" i="2"/>
  <c r="P39" i="2"/>
  <c r="P41" i="2"/>
  <c r="P43" i="2"/>
  <c r="P45" i="2"/>
  <c r="P47" i="2"/>
  <c r="T55" i="2"/>
  <c r="T57" i="2"/>
  <c r="T65" i="2"/>
  <c r="T67" i="2"/>
  <c r="T69" i="2"/>
  <c r="T85" i="2"/>
  <c r="T87" i="2"/>
  <c r="X104" i="2"/>
  <c r="T112" i="2"/>
  <c r="M120" i="2"/>
  <c r="H17" i="2"/>
  <c r="H19" i="2"/>
  <c r="H38" i="2"/>
  <c r="H40" i="2"/>
  <c r="H42" i="2"/>
  <c r="H44" i="2"/>
  <c r="H46" i="2"/>
  <c r="J56" i="2"/>
  <c r="J66" i="2"/>
  <c r="J68" i="2"/>
  <c r="L17" i="2"/>
  <c r="L19" i="2"/>
  <c r="L38" i="2"/>
  <c r="L40" i="2"/>
  <c r="L42" i="2"/>
  <c r="L44" i="2"/>
  <c r="L46" i="2"/>
  <c r="O56" i="2"/>
  <c r="O66" i="2"/>
  <c r="O68" i="2"/>
  <c r="E78" i="2"/>
  <c r="E79" i="2" s="1"/>
  <c r="P17" i="2"/>
  <c r="P19" i="2"/>
  <c r="P38" i="2"/>
  <c r="P40" i="2"/>
  <c r="P42" i="2"/>
  <c r="P44" i="2"/>
  <c r="P46" i="2"/>
  <c r="T56" i="2"/>
  <c r="T66" i="2"/>
  <c r="T68" i="2"/>
  <c r="M119" i="2"/>
  <c r="M122" i="2" s="1"/>
  <c r="E85" i="2"/>
  <c r="E88" i="2" s="1"/>
  <c r="T88" i="2" l="1"/>
  <c r="L49" i="2"/>
  <c r="L22" i="2"/>
  <c r="P49" i="2"/>
  <c r="O88" i="2"/>
  <c r="J71" i="2"/>
  <c r="H49" i="2"/>
  <c r="O59" i="2"/>
  <c r="T71" i="2"/>
  <c r="T59" i="2"/>
  <c r="T113" i="2"/>
  <c r="P22" i="2"/>
</calcChain>
</file>

<file path=xl/sharedStrings.xml><?xml version="1.0" encoding="utf-8"?>
<sst xmlns="http://schemas.openxmlformats.org/spreadsheetml/2006/main" count="3653" uniqueCount="366">
  <si>
    <t>Carimbo de data/hora</t>
  </si>
  <si>
    <t>Endereço de email</t>
  </si>
  <si>
    <t>Com que género se identifica?</t>
  </si>
  <si>
    <t>Qual a sua faixa etária?</t>
  </si>
  <si>
    <t>Costuma sair à noite?</t>
  </si>
  <si>
    <t>Se sim, em que distrito? (o mais frequente)</t>
  </si>
  <si>
    <t>Com que frequência?</t>
  </si>
  <si>
    <t>Como se desloca quando sai à noite? ( escolha o mais frequente)</t>
  </si>
  <si>
    <t>Se já alguma vez se deslocou sozinh@ ,sentiu medo?</t>
  </si>
  <si>
    <t>Se respondeu "Sim" na pergunta anterior, como procedeu?</t>
  </si>
  <si>
    <t>Tem ou pretende ter objetos de defesa?</t>
  </si>
  <si>
    <t>Alguma vez foi vítima de assédio?</t>
  </si>
  <si>
    <t>Se respondeu "Sim", alguém o ajudou ou conseguiu fugir?</t>
  </si>
  <si>
    <t>Quando sai à noite, como é que se sente?</t>
  </si>
  <si>
    <t>Se respondeu "Pouco seguro", refira porquê.</t>
  </si>
  <si>
    <t>Como se sente à noite na rua desde a abertura das restrições a 1 de outubro em comparação com o pré-pandemia?</t>
  </si>
  <si>
    <t>Tendo em conta o anonimato do inquérito, caso se sinta confortável, partilhe um episódio negativo da sua vivência na vida noturna.</t>
  </si>
  <si>
    <t>Pontuação</t>
  </si>
  <si>
    <t>Feminino</t>
  </si>
  <si>
    <t>18-23</t>
  </si>
  <si>
    <t>Sim</t>
  </si>
  <si>
    <t>Aveiro</t>
  </si>
  <si>
    <t>1-2 vezes por semana</t>
  </si>
  <si>
    <t>Sozinh@, a pé</t>
  </si>
  <si>
    <t>Chamei alguém para me acompanhar</t>
  </si>
  <si>
    <t>Nunca pensei sobre isso</t>
  </si>
  <si>
    <t>Pouco seguro</t>
  </si>
  <si>
    <t>Igualmente seguro</t>
  </si>
  <si>
    <t>Masculino</t>
  </si>
  <si>
    <t>Corri</t>
  </si>
  <si>
    <t>Não</t>
  </si>
  <si>
    <t>Seguro</t>
  </si>
  <si>
    <t>Porto</t>
  </si>
  <si>
    <t>Acompanhad@, de carro</t>
  </si>
  <si>
    <t>Menos seguro</t>
  </si>
  <si>
    <t>Coimbra</t>
  </si>
  <si>
    <t>Acompanhad@, de transportes públicos</t>
  </si>
  <si>
    <t>Andar com chaves na mão para me salvaguardar e estar em chamada com pessoas</t>
  </si>
  <si>
    <t>Homens fazem questão de nos deixar desconfortáveis</t>
  </si>
  <si>
    <t>Viana do Castelo</t>
  </si>
  <si>
    <t>1-2 vezes por mês</t>
  </si>
  <si>
    <t>Lidei coma situação</t>
  </si>
  <si>
    <t>Acompanhad@, a pé</t>
  </si>
  <si>
    <t>Acelerei o passo e peguei logo nas chaves de casa para ser mais rapida a entrar</t>
  </si>
  <si>
    <t>Muita violência</t>
  </si>
  <si>
    <t>Continuei a andar senão tinha de dormir na rua</t>
  </si>
  <si>
    <t>Pouca iluminação, pouco policiamento, ruas vazias</t>
  </si>
  <si>
    <t>Liguei a uma amiga e fui a falar com ela</t>
  </si>
  <si>
    <t>&lt;18</t>
  </si>
  <si>
    <t>Raramente saio</t>
  </si>
  <si>
    <t>Tranco o carro</t>
  </si>
  <si>
    <t>Muito seguro</t>
  </si>
  <si>
    <t>Mais seguro</t>
  </si>
  <si>
    <t>Uma noite em que estava numa festa de aniversário de um amigo, em grupo e na cidade, fomos abordados por um grupo de rapazes e os mesmos ameaçaram-nos e roubaram-nos as bebidas alcóolicas. Este é o exemplo, que mesmo estando acompanhada, podemos correr riscos como este.</t>
  </si>
  <si>
    <t>Quase todos os dias</t>
  </si>
  <si>
    <t>Fingi telefonemas, e caminhei rápido</t>
  </si>
  <si>
    <t>Fui assaltado em lisboa a 9 de dezembro na zona do bairro alto, zona que desconheço e para onde so fui nessa noite. Perdi me do grupo com quem estava e demorei a encontra los, acabei por correr e conseguir fugir.</t>
  </si>
  <si>
    <t>Fiquei em chamada com alguém</t>
  </si>
  <si>
    <t>Bragança</t>
  </si>
  <si>
    <t>Apressar o passo ou mesmo correr</t>
  </si>
  <si>
    <t>Homens</t>
  </si>
  <si>
    <t>Por mais que uma vez, fui tocada e apalpada contra a minha vontade. Além disso, temos, enquanto mulheres, que aturar as constantes roçadelas de homens na parte de trás do nosso corpo sempre que pousamos um pé num bar/discoteca.</t>
  </si>
  <si>
    <t>&gt;41</t>
  </si>
  <si>
    <t>Sozinh@, de carro</t>
  </si>
  <si>
    <t>Não fiz nada, continuei andando mas com medo</t>
  </si>
  <si>
    <t>Medo de andar sozinha ou mesmo acompanhada com amigas e algo de ruim acontecer, assédio, violação entre outras coisas.</t>
  </si>
  <si>
    <t>Caminhei mais rápido e liguei a amigos para ir em chamads</t>
  </si>
  <si>
    <t>Sozinh@, de transportes públicos</t>
  </si>
  <si>
    <t>Tentei manter a calma e procurar pessoas ao redor</t>
  </si>
  <si>
    <t>Enquanto andava estava em chamada com uma amiga</t>
  </si>
  <si>
    <t>Há sempre pessoas a tentar fazer algo de mal</t>
  </si>
  <si>
    <t>Tentei ser invisível</t>
  </si>
  <si>
    <t>Não consigo sair sozinha devido ao número crescente de violência</t>
  </si>
  <si>
    <t>Caminhar mais depressa, ligar a alguém e fazer a viagem a conversar</t>
  </si>
  <si>
    <t>Braga</t>
  </si>
  <si>
    <t>Ignorei</t>
  </si>
  <si>
    <t>Andei mais depressa e liguei a alguém enquanto estava sozinha</t>
  </si>
  <si>
    <t>Sendo rapariga sinto me mais insegura</t>
  </si>
  <si>
    <t>Ter de correr devido a estar a seguir me</t>
  </si>
  <si>
    <t>Outro</t>
  </si>
  <si>
    <t>Fui quase a correr o caminho todo</t>
  </si>
  <si>
    <t>Apressar passo, ligar a alguém e falar alto</t>
  </si>
  <si>
    <t>Lisboa</t>
  </si>
  <si>
    <t>Vila Real</t>
  </si>
  <si>
    <t>Porque, existe muita violência perante os jovens( devido álcool,drogas ....)</t>
  </si>
  <si>
    <t>Andei mais rápido</t>
  </si>
  <si>
    <t>Poucas pessoas nas zonas afastadas dos bares</t>
  </si>
  <si>
    <t>36-41</t>
  </si>
  <si>
    <t>Ao telemóvel com amigos</t>
  </si>
  <si>
    <t>Viseu</t>
  </si>
  <si>
    <t>Nunca estaremos seguras perto de homens
Alcoolizados!</t>
  </si>
  <si>
    <t>Estava com as minhas amigas e um homem agarra-me e começa a apalpar-me no meio da discoteca e ninguém fazia nada mesmo eu estando aos berros!</t>
  </si>
  <si>
    <t>Se estiver sozinha sinto-me pouco segura mas se estiver acompanhada com amigos sinto-me segura.</t>
  </si>
  <si>
    <t>Ir para a Praça e estar constantemente a levar com buzinas de carros e assobios</t>
  </si>
  <si>
    <t>Violência</t>
  </si>
  <si>
    <t>Não tenho nada a referir</t>
  </si>
  <si>
    <t>Não foi noturno mas foi durante o dia, fui abordada por um homem que não me deixava passar e ao tentar passar agarrou-me ate que eu fiz força para que ele me largasse e consegui vir embora</t>
  </si>
  <si>
    <t>24-29</t>
  </si>
  <si>
    <t>Quando andava sozinha na rua e um senhor abordou-me a perguntar se queria ir com ele…</t>
  </si>
  <si>
    <t>Medo</t>
  </si>
  <si>
    <t>Estava numa festa com uma amiga e estavam pessoas atrás de nós a tocar nos e apalpar nos os rabos</t>
  </si>
  <si>
    <t>Não podem ver uma mulher mais produzida, ou com vestido ou com saia , que não sabem respeitar !!!</t>
  </si>
  <si>
    <t>Conversei com amigas por sms para sentir-me mais relaxada</t>
  </si>
  <si>
    <t>Sinto que algum carro pode parar e raptar-me</t>
  </si>
  <si>
    <t>Chamei um amigo para sair comigo</t>
  </si>
  <si>
    <t>Tenho medo que me possam fazer mal ,roubar e assim .</t>
  </si>
  <si>
    <t>Com alguma precaução ou ligar a amiga/mãe/os /pai</t>
  </si>
  <si>
    <t>Assédio e carros a parar ao lado e terem má língua</t>
  </si>
  <si>
    <t>Tentei caminhar mais rápido</t>
  </si>
  <si>
    <t>Ir constantemente a olhar à volta.</t>
  </si>
  <si>
    <t>andar rápido</t>
  </si>
  <si>
    <t>Andar rápido</t>
  </si>
  <si>
    <t>Comecei a andar mais rápido</t>
  </si>
  <si>
    <t>Um episodio negativo e que a mais violencia</t>
  </si>
  <si>
    <t>Em forma de defesa..... Liguei para alguém e informei o que se estava a passar</t>
  </si>
  <si>
    <t>Enquanto estava andado com a minha cadela, um carro onde tinha um homem estava sempre a dar a volta e a passar por mim até me abordar dissendo que me conhecia e que podia me levar a casa. Como óbvio não aceitei, além de que a minha casa ficava perto de onde estava.</t>
  </si>
  <si>
    <t>A minha cidade já foi falada por ter violadores</t>
  </si>
  <si>
    <t>Pá, uma vez um amigo meu tinha de ligar a bateria do carro dele e faltava uma carga negativa. O carro não pegava e estávamos stressados. Isto durou uns bons 30m até que um estúpido qualquer se lembrou que tinha uma em casa (que era a 2m de lá). Trouxe o pólo negativo e pronto. Foi esse o momento negativo</t>
  </si>
  <si>
    <t>Pedi a alguém para vir ao meu encontro para que esse medo desaparecesse</t>
  </si>
  <si>
    <t>"Pouco seguro" porque não sei quem me poderá fazer mal ou até mesmo o que me pode vir a acontecer , muito medrosa em relação a esses aspectos</t>
  </si>
  <si>
    <t>A desumanidade das pessoas ao ponto de olharem de cima a baixo, fazendo com que não me sentisse confortável pois não sei o que era retratado por trás daqueles olhos...</t>
  </si>
  <si>
    <t>Andei pra frente e fingi estar em chamada com a minha mãe</t>
  </si>
  <si>
    <t>Com medo</t>
  </si>
  <si>
    <t>Segui caminho até ao meu destino, mas sempre desconfiada.</t>
  </si>
  <si>
    <t>Liguei a alguém</t>
  </si>
  <si>
    <t>Ser abordado por pessoas desconhecidas e tornarem se agressivos por não conseguirem ter o que pretendiam</t>
  </si>
  <si>
    <t>Pessoas a assobiar,,medo de ser raptada,,me sinto insegura mesmo</t>
  </si>
  <si>
    <t>Não so por o facto de estar de noite mas sim a minha zona não é propriamente segura</t>
  </si>
  <si>
    <t>Ha cada vez mais assédio</t>
  </si>
  <si>
    <t>Homens.</t>
  </si>
  <si>
    <t>Chaves no meio dos dedos, chamada com amigos(as)</t>
  </si>
  <si>
    <t>Men are trash. Piropos aqui e ali, abordagens desnecessárias. Apalpões inesperados. Ameaça de violência, verbal e fisicamente.</t>
  </si>
  <si>
    <t>Castelo Branco</t>
  </si>
  <si>
    <t>Andar mais rápido, estar atenta, fazer chamadas para alguém...</t>
  </si>
  <si>
    <t>Continuei a caminhar, uma das vezes mudei o caminho. Noutra situação liguei para me virem buscar de carro não atenderam então liguei a uma amiga que foi comigo ao telefone até chegar a casa</t>
  </si>
  <si>
    <t>Como rapariga não me sinto à vontade a ser deixada sozinha por algum tempo ou de beber, sobretudo estar sozinha o mínimo de tempo que seja enquanto o mínimo embriagada que seja</t>
  </si>
  <si>
    <t>Mantive-me em chamada para caso me acontecesse alguma coisa alguém saber</t>
  </si>
  <si>
    <t>Tentei chegar o mais depressa possível ao destino</t>
  </si>
  <si>
    <t>Por causa de histórias que já ouvi</t>
  </si>
  <si>
    <t>Telemóvel na mão e extrema atenção ao contexto</t>
  </si>
  <si>
    <t>Tenho medo de ser abordada por alguém com más intenções.</t>
  </si>
  <si>
    <t>Liguei para uns amigos</t>
  </si>
  <si>
    <t>Continuei a andar</t>
  </si>
  <si>
    <t>30-35</t>
  </si>
  <si>
    <t>Não há muito policiamento</t>
  </si>
  <si>
    <t>Mantive a calma e tentei andar por zonas com mais pessoas.</t>
  </si>
  <si>
    <t>Tentei andar mais rápido e peguei nas chaves de casa para ter alguma coisa com que me defender. Também costumo ligar a alguém para que não me sinta sozinha</t>
  </si>
  <si>
    <t>Sinto que, a qualquer momento, posso ser vítima de algum tipo de agressão</t>
  </si>
  <si>
    <t>Leiria</t>
  </si>
  <si>
    <t>liguei a alguém</t>
  </si>
  <si>
    <t>Fiz o caminho normal, apenas tive uma maior precaução e tento acelerar o passo</t>
  </si>
  <si>
    <t>Continuei o meu caminho</t>
  </si>
  <si>
    <t>liguei a um amigo</t>
  </si>
  <si>
    <t>Liguei a alguém conhecido</t>
  </si>
  <si>
    <t>Liguei a pessoas para me acompanharem.</t>
  </si>
  <si>
    <t>Tenho medo que alguém me viole.</t>
  </si>
  <si>
    <t>Estar sempre a ter cuidado por onde passo, o que tomo, onde deixo o copo, para onde vamos, quem vai, é perigoso ou está gente. Não é fácil ser mulher</t>
  </si>
  <si>
    <t>Corri e liguei aos meus pais</t>
  </si>
  <si>
    <t>Liguei para alguém</t>
  </si>
  <si>
    <t>É uma cidade grande e têm havidos mais crimes</t>
  </si>
  <si>
    <t>Há sempre o risco de ser assaltad@ , perseguida@, violad@ algo que comum infelizmente é muito comum</t>
  </si>
  <si>
    <t>Fingir falar ao telemovel com outra pessoa</t>
  </si>
  <si>
    <t>Tentei andar por lugares iluminados e o mais depressa possível</t>
  </si>
  <si>
    <t>Acompanhada de objetos de segurança e sempre a desconfiar de perseguições</t>
  </si>
  <si>
    <t>Tentei deslocar-me o mais rapidamente possível</t>
  </si>
  <si>
    <t>Fiz o meu caminho sem incomodar ninguém para casa</t>
  </si>
  <si>
    <t>Ligar a uma amiga</t>
  </si>
  <si>
    <t>Devido aos olhares que recebemos na rua, e pelas bocas que recebemos. Temos sempre receio que algo nos aconteça</t>
  </si>
  <si>
    <t>Estava eu sozinha a noite, quando passa um senhor de bicicleta e me diz “sem top era melhor” obviamente que esta foi uma atitude que mexeu comigo.</t>
  </si>
  <si>
    <t>Ser abordado por pessoas para me assaltante
Múltiplas vezes</t>
  </si>
  <si>
    <t>Já fui seguida até em casa algumas vezes, homens desconhecidos me abordaram e não foram embora após eu deixar claro que estáva desconfortável etc.</t>
  </si>
  <si>
    <t>homens</t>
  </si>
  <si>
    <t>Roubaram me o tele dps de eu o deixar cair sem dar conta</t>
  </si>
  <si>
    <t>tentei arranjar alguém para falar comigo ao telemóvel enquanto eu me deslocava para o local que eu desejava</t>
  </si>
  <si>
    <t>Continuei, ou troquei de caminho por receio</t>
  </si>
  <si>
    <t>Liguei a amigos para assegurar que chegava a casa bem</t>
  </si>
  <si>
    <t>Pelo facto de estarem a acontecer imensas violações, raptos e/ou roubos.</t>
  </si>
  <si>
    <t>uma vez fui sair a noite, em coimbra. estava fora de uma discoteca que há aqui em coimbra, e um homem foi baleado e morto, o caso foi bastante falado em coimbra e no país em geral. como é obvio senti-me inseguro e com medo, visto que o assassino foi eu colega no secundario, ainda me senti pior, pois as pessoas que nos podem fazer mal normalmente estao perto de nós. mas bem, a vida é assim. que tenhas um bom trabalho</t>
  </si>
  <si>
    <t>Ligar a alguém</t>
  </si>
  <si>
    <t>Faro</t>
  </si>
  <si>
    <t>Na vida noturna tudo pode acontecer e não há vigilância nas ruas</t>
  </si>
  <si>
    <t>Segui o caminho que tinha a fazer sempre com o telemóvel na mão caso viesse ou sentisse que iria acontecer alguma coisa, ou estar em chamada com alguém para me sentir menos só e ser mais fácil reportar caso acontecesse alguma coisa</t>
  </si>
  <si>
    <t xml:space="preserve">Total de respostas: género </t>
  </si>
  <si>
    <t>Total de respostas: faixa etária</t>
  </si>
  <si>
    <t>Apresento em cima os calculos que deveriam ser efetuados ao longo de toda a folha de calculos mas por motivos de facilidade e gestão de trabalho irei simplificar a contagem. Desta forma, para demonstrar os conhecimentos adquiridos em aula, deixo em cima a representação do que aprendi e deveria ser feito.Por motivos desconhecidos ocorre um erro na contagem dos segmentos "&lt;18" e "&gt;41" mas de qualquer das formas deixo a formula referida.</t>
  </si>
  <si>
    <t>Análise pergunta a pergunta</t>
  </si>
  <si>
    <t xml:space="preserve">Total de respostas à 1ª pergunta: género </t>
  </si>
  <si>
    <t xml:space="preserve">Número </t>
  </si>
  <si>
    <t>Percentagem</t>
  </si>
  <si>
    <t>Maculino</t>
  </si>
  <si>
    <t xml:space="preserve">Total </t>
  </si>
  <si>
    <t>Respostas à 2ª pergunta: faixa etária</t>
  </si>
  <si>
    <t>faixas etárias do género "feminino"</t>
  </si>
  <si>
    <t>faixas etárias do género "masculino"</t>
  </si>
  <si>
    <t>Número</t>
  </si>
  <si>
    <t>feminino</t>
  </si>
  <si>
    <t>masculino</t>
  </si>
  <si>
    <t>outro</t>
  </si>
  <si>
    <t>&gt;18</t>
  </si>
  <si>
    <t>&lt;41</t>
  </si>
  <si>
    <t>Total</t>
  </si>
  <si>
    <t>Respostas à 3ª pergunta: costuma sair</t>
  </si>
  <si>
    <t>O género "feminino" costuma sair à noite?</t>
  </si>
  <si>
    <t>O género "masculino" costuma sair à noite?</t>
  </si>
  <si>
    <t>O género "outro" costuma sair à noite?</t>
  </si>
  <si>
    <t>Qual o género que mais sai e o que menos saí</t>
  </si>
  <si>
    <t>saí</t>
  </si>
  <si>
    <t xml:space="preserve">não saí </t>
  </si>
  <si>
    <t>Total (%)</t>
  </si>
  <si>
    <t>Respostas à 4ª pergunta: distritos</t>
  </si>
  <si>
    <t>O género "feminino" costumar sair onde?</t>
  </si>
  <si>
    <t>O género "masculino" costuma sair onde?</t>
  </si>
  <si>
    <t>O género "outro" costuma sair onde?</t>
  </si>
  <si>
    <t>Respostas à 5ª pergunta: frequência</t>
  </si>
  <si>
    <t>A frequência com que sai o género "feminino"</t>
  </si>
  <si>
    <t>A frequência com que sai o género "masculino"</t>
  </si>
  <si>
    <t>A frequência com que sai o género "outro"</t>
  </si>
  <si>
    <t xml:space="preserve">quase todos os dias </t>
  </si>
  <si>
    <t>raramento saiu</t>
  </si>
  <si>
    <t xml:space="preserve">Respostas à 6ª pergunta: como se deslocam </t>
  </si>
  <si>
    <t>Como se desloca o género "feminino"</t>
  </si>
  <si>
    <t>Como se desloca o género "masculino"</t>
  </si>
  <si>
    <t>Como se desloca o género "outro"</t>
  </si>
  <si>
    <t>acompanha@, a pé</t>
  </si>
  <si>
    <t>acompanha@,de carro</t>
  </si>
  <si>
    <t>acompanha@,de transporte público</t>
  </si>
  <si>
    <t>sozinh@, a pé</t>
  </si>
  <si>
    <t>sozinh@, de carro</t>
  </si>
  <si>
    <t>sozinh@, de transporte público</t>
  </si>
  <si>
    <t>Respostas à 7ª pergunta: se sentiu medo ao se deslocar sozinho</t>
  </si>
  <si>
    <t xml:space="preserve"> Medo na deslocação sozinho por parte do género "feminino"</t>
  </si>
  <si>
    <t xml:space="preserve"> Medo na deslocação sozinho por parte do género "masculino"</t>
  </si>
  <si>
    <t xml:space="preserve"> Medo na deslocação sozinho por parte do género "outro"</t>
  </si>
  <si>
    <t xml:space="preserve"> Qual o género que sente mais medo ao se deslocar sozinho</t>
  </si>
  <si>
    <t xml:space="preserve"> Qual o género que sente menos medo ao se deslocar sozinho</t>
  </si>
  <si>
    <t>Respostas à 9ª pergunta: objetos de defesa</t>
  </si>
  <si>
    <t>o género "femino" tem ou pretender ter objetos de defesa?</t>
  </si>
  <si>
    <t>o género "masculino" tem ou pretender ter objetos de defesa?</t>
  </si>
  <si>
    <t>o género "outro" tem ou pretender ter objetos de defesa?</t>
  </si>
  <si>
    <t xml:space="preserve">Percentagem </t>
  </si>
  <si>
    <t>sim</t>
  </si>
  <si>
    <t>Respostas à 10ª pergunta: assédio</t>
  </si>
  <si>
    <t>respostas quanto ao assédio do género "feminino"</t>
  </si>
  <si>
    <t>respostas quanto ao assédio do género "masculino"</t>
  </si>
  <si>
    <t>respostas quanto ao assédio do género "outro"</t>
  </si>
  <si>
    <t>casos de vitima de assédio por género</t>
  </si>
  <si>
    <t>Respostas à 11ª pergunta: ajuda em situação de assédio</t>
  </si>
  <si>
    <t>ajuda em caso de assédio para o género "feminino"</t>
  </si>
  <si>
    <t>ajuda em caso de assédio para o género "outro"</t>
  </si>
  <si>
    <t xml:space="preserve">Percentagem de sentimento de segurança </t>
  </si>
  <si>
    <t xml:space="preserve">Numero </t>
  </si>
  <si>
    <t>Muito Seguro</t>
  </si>
  <si>
    <t>Pouco Seguro</t>
  </si>
  <si>
    <t>Respostas à 12ª pergunta: como se sente ao sair à noite</t>
  </si>
  <si>
    <t>como se sente o género "feminino" ao sair à noite</t>
  </si>
  <si>
    <t>como se sente o género "masculino" ao sair à noite</t>
  </si>
  <si>
    <t>como se sente o género "outo" ao sair à noite</t>
  </si>
  <si>
    <t>Ao ser vitima de assédio alguém o ajudou</t>
  </si>
  <si>
    <t>muito seguro</t>
  </si>
  <si>
    <t>seguro</t>
  </si>
  <si>
    <t>pouco seguro</t>
  </si>
  <si>
    <t>Respostas à 14ª pergunta: como se sente ao sair à noite agora em relação ao pré pandemia?</t>
  </si>
  <si>
    <t xml:space="preserve"> como se sente o género "feminino" ao sair à noite agora em relação ao pré pandemia?</t>
  </si>
  <si>
    <t xml:space="preserve"> como se sente o género "masculino" ao sair à noite agora em relação ao pré pandemia?</t>
  </si>
  <si>
    <t xml:space="preserve"> como se sente o género "outro" ao sair à noite agora em relação ao pré pandemia?</t>
  </si>
  <si>
    <t>mais seguro</t>
  </si>
  <si>
    <t>igualmente seguro</t>
  </si>
  <si>
    <t>menos seguro</t>
  </si>
  <si>
    <t>Análise dinâmica</t>
  </si>
  <si>
    <t>Saídas à noite por faixas etárias</t>
  </si>
  <si>
    <t>Frequência de saídas por faixas etárias</t>
  </si>
  <si>
    <t>Casos de assédio por faixas etárias</t>
  </si>
  <si>
    <t>Percentagem de obtenção de objetos de defesa por distrito</t>
  </si>
  <si>
    <t>Percentagem de casos de assédio por distrito</t>
  </si>
  <si>
    <t>Sentimento de segurança ao sair à noite pós-covid por distrito</t>
  </si>
  <si>
    <t>Faixas etárias /saidas</t>
  </si>
  <si>
    <t>não</t>
  </si>
  <si>
    <t>% de não</t>
  </si>
  <si>
    <t>% de sim</t>
  </si>
  <si>
    <t>faixas etárias / frequencia</t>
  </si>
  <si>
    <t xml:space="preserve">% quase todos os dias </t>
  </si>
  <si>
    <t xml:space="preserve"> % 1-2 vezes por semana</t>
  </si>
  <si>
    <t>% 1-2 vezes por mês</t>
  </si>
  <si>
    <t>% raramente saio</t>
  </si>
  <si>
    <t>Faixas etárias / percentagem de casos de assédio</t>
  </si>
  <si>
    <t>Distrito / objetos de defesa</t>
  </si>
  <si>
    <t>% de nunca pensei sobre isso</t>
  </si>
  <si>
    <t>% de Não</t>
  </si>
  <si>
    <t>% de Sm</t>
  </si>
  <si>
    <t>% Igualmente seguro</t>
  </si>
  <si>
    <t>Menos Seguro</t>
  </si>
  <si>
    <t>Faixas etárias por distritos</t>
  </si>
  <si>
    <t>Obtenção de objetos de desfesa por faixas etárias</t>
  </si>
  <si>
    <t>Medo de sair à noite por distrito</t>
  </si>
  <si>
    <t>distritos / faixas etárias</t>
  </si>
  <si>
    <t xml:space="preserve"> % &lt;18</t>
  </si>
  <si>
    <t>% 18-23</t>
  </si>
  <si>
    <t xml:space="preserve"> % 24-29</t>
  </si>
  <si>
    <t>% 30-35</t>
  </si>
  <si>
    <t>% 36-41</t>
  </si>
  <si>
    <t>% &gt;41</t>
  </si>
  <si>
    <t>faixas etárias / objetos de defesa</t>
  </si>
  <si>
    <t>% não</t>
  </si>
  <si>
    <t>% nunca pensei</t>
  </si>
  <si>
    <t>% sim</t>
  </si>
  <si>
    <t>Distrito / medo de se deslocar sozinho</t>
  </si>
  <si>
    <t>% Não</t>
  </si>
  <si>
    <t>% Sim</t>
  </si>
  <si>
    <t>Sentimento de segurança ao sair à noite por distritos</t>
  </si>
  <si>
    <t>Exemplo de como deveria ter feita toda a análise dinâmica mostrando de onde vem os valores na folha das tabelas dinâmicas. Aprendi ao longo do processo a fazer o correto e registo assim que seria desta forma que deveria ter feito todo o resto</t>
  </si>
  <si>
    <t>% Muito seguro</t>
  </si>
  <si>
    <t>% Pouco Seguro</t>
  </si>
  <si>
    <t>% Seguro</t>
  </si>
  <si>
    <t>Modo de deslocação para sair à noite por distrito</t>
  </si>
  <si>
    <t>Medo ao se deslocar sozinho por distrito</t>
  </si>
  <si>
    <t>Obtenção de objetos de defesa por distritos</t>
  </si>
  <si>
    <t>Saídas por distrito</t>
  </si>
  <si>
    <t>distrito / como se desloca</t>
  </si>
  <si>
    <t>% Acompanhad@, a pé</t>
  </si>
  <si>
    <t>% Acompanhad@, de carro</t>
  </si>
  <si>
    <t>% Acompanhad@, de transportes públicos</t>
  </si>
  <si>
    <t>% Sozinh@, a pé</t>
  </si>
  <si>
    <t>% Sozinh@, de carro</t>
  </si>
  <si>
    <t>% Sozinh@, de transporte público</t>
  </si>
  <si>
    <t>Distrito/ medo ao se deslocar sozinho</t>
  </si>
  <si>
    <t>distrito / saidas</t>
  </si>
  <si>
    <t>% de saídas</t>
  </si>
  <si>
    <t>Percentagem de sentimento de segurança por faixas etárias</t>
  </si>
  <si>
    <t>Percentagem de sentimento de segurança por faixas etárias pós covid</t>
  </si>
  <si>
    <t>Percentagem de saídas à noite por distrito</t>
  </si>
  <si>
    <t>Percentagem de obtenção de objetos de defesa por géneros</t>
  </si>
  <si>
    <t>faixa etária/sentimento de segurança</t>
  </si>
  <si>
    <t>Faixa/ sentimento de segurança pós covid</t>
  </si>
  <si>
    <t xml:space="preserve"> % Igualmente seguro</t>
  </si>
  <si>
    <t>% Mais seguro</t>
  </si>
  <si>
    <t>% Menos seguro</t>
  </si>
  <si>
    <t>Distrito/ saidas à noite</t>
  </si>
  <si>
    <t xml:space="preserve"> % Não</t>
  </si>
  <si>
    <t>Género/obtenção de objetos de defesa</t>
  </si>
  <si>
    <t>% nunca pensei sobre isso</t>
  </si>
  <si>
    <t>Nestas últimas tabelas começei a entender que o correto seria utilizar as referências de onde tinha tirado os valores da tabela dinâmica, sendo este o método que deveria ter utilizado ao longo de toda a análise dos dados.</t>
  </si>
  <si>
    <t>Percentagem de casos de assédio por géneros</t>
  </si>
  <si>
    <t>Percentagem de sentimento de segurança por distrito</t>
  </si>
  <si>
    <t>Percentagem de sentimento de segurança pós covid por distrito</t>
  </si>
  <si>
    <t>Género/ casos de assédio</t>
  </si>
  <si>
    <t>distrito / Sentimento de segurança</t>
  </si>
  <si>
    <t>% igualmente seguro</t>
  </si>
  <si>
    <t>Análise tabelas dinâmicas</t>
  </si>
  <si>
    <t>COUNTA de Costuma sair à noite?</t>
  </si>
  <si>
    <t>Total geral</t>
  </si>
  <si>
    <t>COUNTA de Tem ou pretende ter objetos de defesa?</t>
  </si>
  <si>
    <t>COUNTA de Alguma vez foi vítima de assédio?</t>
  </si>
  <si>
    <t>COUNTA de Como se desloca quando sai à noite? ( escolha o mais frequente)</t>
  </si>
  <si>
    <t>COUNTA de Se já alguma vez se deslocou sozinh@ ,sentiu medo?</t>
  </si>
  <si>
    <t xml:space="preserve"> </t>
  </si>
  <si>
    <t>COUNTA of Alguma vez foi vítima de assédio?</t>
  </si>
  <si>
    <t>Total Geral</t>
  </si>
  <si>
    <t>(em branco)</t>
  </si>
  <si>
    <t>COUNTA of Como se sente à noite na rua desde a abertura das restrições a 1 de outubro em comparação com o pré-pandemia?</t>
  </si>
  <si>
    <t>COUNTA of Quando sai à noite, como é que se sente?</t>
  </si>
  <si>
    <t>COUNTA of Tem ou pretende ter objetos de defesa?</t>
  </si>
  <si>
    <t>COUNTA of Costuma sair à noite?</t>
  </si>
  <si>
    <t>COUNTA of Qual a sua faixa etária?</t>
  </si>
  <si>
    <t>COUNTA of Com que frequência?</t>
  </si>
  <si>
    <t>COUNTA of Com que género se identifica?</t>
  </si>
  <si>
    <t>?18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</si>
</sst>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/d/yyyy\ h:mm:ss"/>
    <numFmt numFmtId="165" formatCode="0.0"/>
    <numFmt numFmtId="166" formatCode="#,##0.0"/>
  </numFmts>
  <fonts count="33">
    <font>
      <sz val="10"/>
      <color rgb="FF000000"/>
      <name val="Verdana"/>
      <scheme val="minor"/>
    </font>
    <font>
      <sz val="10"/>
      <color theme="1"/>
      <name val="Verdana"/>
      <scheme val="minor"/>
    </font>
    <font>
      <sz val="10"/>
      <color theme="1"/>
      <name val="Arial"/>
    </font>
    <font>
      <sz val="11"/>
      <color theme="0"/>
      <name val="Verdana"/>
      <scheme val="minor"/>
    </font>
    <font>
      <sz val="11"/>
      <color rgb="FFFFFFFF"/>
      <name val="Verdana"/>
      <scheme val="minor"/>
    </font>
    <font>
      <sz val="10"/>
      <color theme="1"/>
      <name val="Verdana"/>
      <scheme val="minor"/>
    </font>
    <font>
      <sz val="11"/>
      <color theme="1"/>
      <name val="Verdana"/>
      <scheme val="minor"/>
    </font>
    <font>
      <b/>
      <sz val="10"/>
      <color theme="1"/>
      <name val="Verdana"/>
      <scheme val="minor"/>
    </font>
    <font>
      <sz val="10"/>
      <name val="Verdana"/>
    </font>
    <font>
      <sz val="5"/>
      <color rgb="FF000000"/>
      <name val="Arial"/>
    </font>
    <font>
      <b/>
      <sz val="11"/>
      <color theme="1"/>
      <name val="Verdana"/>
      <scheme val="minor"/>
    </font>
    <font>
      <sz val="10"/>
      <color rgb="FF980000"/>
      <name val="Verdana"/>
      <scheme val="minor"/>
    </font>
    <font>
      <b/>
      <sz val="10"/>
      <color rgb="FF980000"/>
      <name val="Verdana"/>
      <scheme val="minor"/>
    </font>
    <font>
      <b/>
      <sz val="10"/>
      <color theme="1"/>
      <name val="Arial"/>
    </font>
    <font>
      <sz val="11"/>
      <color theme="1"/>
      <name val="Arial"/>
    </font>
    <font>
      <b/>
      <sz val="11"/>
      <color theme="1"/>
      <name val="Arial"/>
    </font>
    <font>
      <b/>
      <sz val="10"/>
      <color theme="1"/>
      <name val="Verdana"/>
      <scheme val="minor"/>
    </font>
    <font>
      <b/>
      <sz val="11"/>
      <color rgb="FF980000"/>
      <name val="Verdana"/>
      <scheme val="minor"/>
    </font>
    <font>
      <sz val="11"/>
      <color theme="1"/>
      <name val="Inconsolata"/>
    </font>
    <font>
      <sz val="11"/>
      <color rgb="FF000000"/>
      <name val="Inconsolata"/>
    </font>
    <font>
      <sz val="10"/>
      <color theme="1"/>
      <name val="Verdana"/>
    </font>
    <font>
      <sz val="10"/>
      <color rgb="FF000000"/>
      <name val="Verdana"/>
    </font>
    <font>
      <b/>
      <sz val="11"/>
      <color theme="1"/>
      <name val="Verdana"/>
    </font>
    <font>
      <b/>
      <sz val="10"/>
      <color theme="1"/>
      <name val="Verdana"/>
    </font>
    <font>
      <b/>
      <sz val="10"/>
      <color rgb="FF9900FF"/>
      <name val="Verdana"/>
      <scheme val="minor"/>
    </font>
    <font>
      <i/>
      <sz val="10"/>
      <color theme="1"/>
      <name val="Arial"/>
    </font>
    <font>
      <sz val="10"/>
      <color rgb="FFFFFFFF"/>
      <name val="Arial"/>
    </font>
    <font>
      <i/>
      <sz val="10"/>
      <color rgb="FF000000"/>
      <name val="Verdana"/>
    </font>
    <font>
      <i/>
      <sz val="11"/>
      <color theme="1"/>
      <name val="Arial"/>
    </font>
    <font>
      <sz val="11"/>
      <color rgb="FFFFFFFF"/>
      <name val="Arial"/>
    </font>
    <font>
      <b/>
      <sz val="10"/>
      <color rgb="FFFFFFFF"/>
      <name val="Verdana"/>
    </font>
    <font>
      <b/>
      <sz val="10"/>
      <color rgb="FF000000"/>
      <name val="Verdana"/>
    </font>
    <font>
      <sz val="12"/>
      <color rgb="FF000000"/>
      <name val="Roboto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BEFF1"/>
        <bgColor rgb="FFEBEFF1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  <fill>
      <patternFill patternType="solid">
        <fgColor rgb="FFC9DAF8"/>
        <bgColor rgb="FFC9DAF8"/>
      </patternFill>
    </fill>
    <fill>
      <patternFill patternType="solid">
        <fgColor rgb="FFD8E2E7"/>
        <bgColor rgb="FFD8E2E7"/>
      </patternFill>
    </fill>
    <fill>
      <patternFill patternType="solid">
        <fgColor rgb="FF638DA2"/>
        <bgColor rgb="FF638DA2"/>
      </patternFill>
    </fill>
    <fill>
      <patternFill patternType="solid">
        <fgColor rgb="FFF2F5F7"/>
        <bgColor rgb="FFF2F5F7"/>
      </patternFill>
    </fill>
    <fill>
      <patternFill patternType="solid">
        <fgColor rgb="FFD0DBD9"/>
        <bgColor rgb="FFD0DBD9"/>
      </patternFill>
    </fill>
    <fill>
      <patternFill patternType="solid">
        <fgColor rgb="FFEFF3F3"/>
        <bgColor rgb="FFEFF3F3"/>
      </patternFill>
    </fill>
  </fills>
  <borders count="3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thick">
        <color rgb="FF638DA2"/>
      </bottom>
      <diagonal/>
    </border>
    <border>
      <left/>
      <right style="thin">
        <color rgb="FF000000"/>
      </right>
      <top/>
      <bottom style="thick">
        <color rgb="FF638DA2"/>
      </bottom>
      <diagonal/>
    </border>
    <border>
      <left/>
      <right style="thin">
        <color rgb="FFFFFFFF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FFFFFF"/>
      </right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/>
      <right/>
      <top/>
      <bottom style="thick">
        <color rgb="FF638DA2"/>
      </bottom>
      <diagonal/>
    </border>
    <border>
      <left/>
      <right/>
      <top/>
      <bottom style="thick">
        <color rgb="FF43706A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9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right"/>
    </xf>
    <xf numFmtId="4" fontId="1" fillId="0" borderId="0" xfId="0" applyNumberFormat="1" applyFont="1"/>
    <xf numFmtId="4" fontId="1" fillId="0" borderId="0" xfId="0" applyNumberFormat="1" applyFont="1" applyAlignment="1"/>
    <xf numFmtId="0" fontId="3" fillId="4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4" fontId="5" fillId="0" borderId="0" xfId="0" applyNumberFormat="1" applyFont="1" applyAlignment="1">
      <alignment horizontal="right"/>
    </xf>
    <xf numFmtId="4" fontId="6" fillId="0" borderId="0" xfId="0" applyNumberFormat="1" applyFont="1" applyAlignment="1"/>
    <xf numFmtId="0" fontId="6" fillId="0" borderId="0" xfId="0" applyFont="1" applyAlignment="1"/>
    <xf numFmtId="164" fontId="1" fillId="0" borderId="0" xfId="0" applyNumberFormat="1" applyFont="1" applyAlignment="1"/>
    <xf numFmtId="0" fontId="6" fillId="0" borderId="0" xfId="0" applyFont="1" applyAlignment="1"/>
    <xf numFmtId="0" fontId="1" fillId="0" borderId="0" xfId="0" applyFont="1" applyAlignment="1">
      <alignment horizontal="center"/>
    </xf>
    <xf numFmtId="0" fontId="1" fillId="4" borderId="0" xfId="0" applyFont="1" applyFill="1"/>
    <xf numFmtId="0" fontId="1" fillId="4" borderId="0" xfId="0" applyFont="1" applyFill="1"/>
    <xf numFmtId="0" fontId="7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9" fillId="4" borderId="0" xfId="0" applyFont="1" applyFill="1" applyAlignment="1">
      <alignment horizontal="left"/>
    </xf>
    <xf numFmtId="2" fontId="1" fillId="0" borderId="0" xfId="0" applyNumberFormat="1" applyFont="1" applyAlignment="1"/>
    <xf numFmtId="0" fontId="1" fillId="0" borderId="0" xfId="0" applyFont="1" applyAlignment="1"/>
    <xf numFmtId="0" fontId="11" fillId="0" borderId="0" xfId="0" applyFont="1"/>
    <xf numFmtId="0" fontId="7" fillId="4" borderId="0" xfId="0" applyFont="1" applyFill="1" applyAlignment="1">
      <alignment horizontal="center"/>
    </xf>
    <xf numFmtId="0" fontId="1" fillId="4" borderId="0" xfId="0" applyFont="1" applyFill="1" applyAlignment="1"/>
    <xf numFmtId="1" fontId="1" fillId="4" borderId="0" xfId="0" applyNumberFormat="1" applyFont="1" applyFill="1" applyAlignment="1"/>
    <xf numFmtId="2" fontId="1" fillId="4" borderId="0" xfId="0" applyNumberFormat="1" applyFont="1" applyFill="1" applyAlignment="1"/>
    <xf numFmtId="0" fontId="1" fillId="4" borderId="1" xfId="0" applyFont="1" applyFill="1" applyBorder="1" applyAlignment="1"/>
    <xf numFmtId="0" fontId="1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/>
    </xf>
    <xf numFmtId="0" fontId="1" fillId="5" borderId="7" xfId="0" applyFont="1" applyFill="1" applyBorder="1" applyAlignment="1"/>
    <xf numFmtId="0" fontId="1" fillId="0" borderId="8" xfId="0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165" fontId="1" fillId="4" borderId="0" xfId="0" applyNumberFormat="1" applyFont="1" applyFill="1" applyAlignment="1"/>
    <xf numFmtId="0" fontId="1" fillId="5" borderId="2" xfId="0" applyFont="1" applyFill="1" applyBorder="1" applyAlignment="1"/>
    <xf numFmtId="9" fontId="1" fillId="4" borderId="0" xfId="0" applyNumberFormat="1" applyFont="1" applyFill="1" applyAlignment="1"/>
    <xf numFmtId="0" fontId="1" fillId="0" borderId="1" xfId="0" applyFont="1" applyBorder="1" applyAlignment="1"/>
    <xf numFmtId="2" fontId="1" fillId="0" borderId="1" xfId="0" applyNumberFormat="1" applyFont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/>
    <xf numFmtId="9" fontId="1" fillId="0" borderId="0" xfId="0" applyNumberFormat="1" applyFont="1" applyAlignment="1"/>
    <xf numFmtId="0" fontId="1" fillId="5" borderId="1" xfId="0" applyFont="1" applyFill="1" applyBorder="1" applyAlignment="1">
      <alignment horizontal="left"/>
    </xf>
    <xf numFmtId="0" fontId="6" fillId="4" borderId="1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7" xfId="0" applyFont="1" applyFill="1" applyBorder="1" applyAlignment="1"/>
    <xf numFmtId="2" fontId="1" fillId="4" borderId="1" xfId="0" applyNumberFormat="1" applyFont="1" applyFill="1" applyBorder="1" applyAlignment="1"/>
    <xf numFmtId="0" fontId="1" fillId="0" borderId="1" xfId="0" applyFont="1" applyBorder="1"/>
    <xf numFmtId="1" fontId="1" fillId="4" borderId="1" xfId="0" applyNumberFormat="1" applyFont="1" applyFill="1" applyBorder="1" applyAlignment="1">
      <alignment horizontal="center"/>
    </xf>
    <xf numFmtId="2" fontId="1" fillId="5" borderId="1" xfId="0" applyNumberFormat="1" applyFont="1" applyFill="1" applyBorder="1" applyAlignment="1"/>
    <xf numFmtId="1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1" xfId="0" applyNumberFormat="1" applyFont="1" applyBorder="1" applyAlignment="1"/>
    <xf numFmtId="1" fontId="1" fillId="4" borderId="1" xfId="0" applyNumberFormat="1" applyFont="1" applyFill="1" applyBorder="1" applyAlignment="1">
      <alignment horizontal="center"/>
    </xf>
    <xf numFmtId="1" fontId="1" fillId="0" borderId="0" xfId="0" applyNumberFormat="1" applyFont="1" applyAlignment="1"/>
    <xf numFmtId="0" fontId="1" fillId="0" borderId="0" xfId="0" applyFont="1" applyAlignment="1">
      <alignment horizontal="center"/>
    </xf>
    <xf numFmtId="0" fontId="1" fillId="4" borderId="0" xfId="0" applyFont="1" applyFill="1" applyAlignment="1">
      <alignment horizontal="center"/>
    </xf>
    <xf numFmtId="1" fontId="1" fillId="4" borderId="0" xfId="0" applyNumberFormat="1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165" fontId="1" fillId="0" borderId="1" xfId="0" applyNumberFormat="1" applyFont="1" applyBorder="1"/>
    <xf numFmtId="1" fontId="1" fillId="0" borderId="1" xfId="0" applyNumberFormat="1" applyFont="1" applyBorder="1"/>
    <xf numFmtId="0" fontId="6" fillId="0" borderId="1" xfId="0" applyFont="1" applyBorder="1" applyAlignment="1">
      <alignment horizontal="center"/>
    </xf>
    <xf numFmtId="0" fontId="7" fillId="4" borderId="0" xfId="0" applyFont="1" applyFill="1" applyAlignment="1">
      <alignment horizontal="left"/>
    </xf>
    <xf numFmtId="0" fontId="1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165" fontId="1" fillId="5" borderId="1" xfId="0" applyNumberFormat="1" applyFont="1" applyFill="1" applyBorder="1" applyAlignment="1">
      <alignment horizontal="center"/>
    </xf>
    <xf numFmtId="0" fontId="6" fillId="5" borderId="1" xfId="0" applyFont="1" applyFill="1" applyBorder="1" applyAlignment="1">
      <alignment horizontal="center"/>
    </xf>
    <xf numFmtId="0" fontId="6" fillId="5" borderId="1" xfId="0" applyFont="1" applyFill="1" applyBorder="1" applyAlignment="1"/>
    <xf numFmtId="165" fontId="1" fillId="0" borderId="1" xfId="0" applyNumberFormat="1" applyFont="1" applyBorder="1" applyAlignment="1">
      <alignment horizontal="center"/>
    </xf>
    <xf numFmtId="4" fontId="1" fillId="5" borderId="1" xfId="0" applyNumberFormat="1" applyFont="1" applyFill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4" fontId="2" fillId="5" borderId="1" xfId="0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1" fillId="5" borderId="11" xfId="0" applyFont="1" applyFill="1" applyBorder="1" applyAlignment="1"/>
    <xf numFmtId="165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5" borderId="1" xfId="0" applyFont="1" applyFill="1" applyBorder="1" applyAlignment="1">
      <alignment horizontal="left"/>
    </xf>
    <xf numFmtId="0" fontId="1" fillId="5" borderId="1" xfId="0" applyFont="1" applyFill="1" applyBorder="1"/>
    <xf numFmtId="0" fontId="19" fillId="2" borderId="1" xfId="0" applyFont="1" applyFill="1" applyBorder="1" applyAlignment="1"/>
    <xf numFmtId="0" fontId="1" fillId="0" borderId="9" xfId="0" applyFont="1" applyBorder="1" applyAlignment="1">
      <alignment horizontal="center"/>
    </xf>
    <xf numFmtId="4" fontId="1" fillId="5" borderId="11" xfId="0" applyNumberFormat="1" applyFont="1" applyFill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165" fontId="1" fillId="0" borderId="11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1" fontId="1" fillId="0" borderId="11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12" xfId="0" applyFont="1" applyBorder="1"/>
    <xf numFmtId="0" fontId="1" fillId="0" borderId="0" xfId="0" applyFont="1" applyAlignment="1">
      <alignment horizontal="center"/>
    </xf>
    <xf numFmtId="4" fontId="1" fillId="4" borderId="1" xfId="0" applyNumberFormat="1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6" fillId="0" borderId="1" xfId="0" applyFont="1" applyBorder="1" applyAlignment="1"/>
    <xf numFmtId="4" fontId="20" fillId="0" borderId="0" xfId="0" applyNumberFormat="1" applyFont="1" applyAlignment="1">
      <alignment horizontal="center"/>
    </xf>
    <xf numFmtId="4" fontId="20" fillId="5" borderId="1" xfId="0" applyNumberFormat="1" applyFont="1" applyFill="1" applyBorder="1" applyAlignment="1">
      <alignment horizontal="center"/>
    </xf>
    <xf numFmtId="165" fontId="20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4" fontId="21" fillId="5" borderId="1" xfId="0" applyNumberFormat="1" applyFont="1" applyFill="1" applyBorder="1" applyAlignment="1"/>
    <xf numFmtId="3" fontId="21" fillId="2" borderId="1" xfId="0" applyNumberFormat="1" applyFont="1" applyFill="1" applyBorder="1" applyAlignment="1">
      <alignment horizontal="center"/>
    </xf>
    <xf numFmtId="4" fontId="20" fillId="5" borderId="1" xfId="0" applyNumberFormat="1" applyFont="1" applyFill="1" applyBorder="1" applyAlignment="1">
      <alignment horizontal="center"/>
    </xf>
    <xf numFmtId="4" fontId="6" fillId="5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21" fillId="2" borderId="1" xfId="0" applyNumberFormat="1" applyFont="1" applyFill="1" applyBorder="1" applyAlignment="1">
      <alignment horizontal="center"/>
    </xf>
    <xf numFmtId="3" fontId="20" fillId="2" borderId="1" xfId="0" applyNumberFormat="1" applyFont="1" applyFill="1" applyBorder="1" applyAlignment="1"/>
    <xf numFmtId="0" fontId="21" fillId="2" borderId="1" xfId="0" applyFont="1" applyFill="1" applyBorder="1" applyAlignment="1">
      <alignment horizontal="center"/>
    </xf>
    <xf numFmtId="0" fontId="21" fillId="2" borderId="1" xfId="0" applyFont="1" applyFill="1" applyBorder="1" applyAlignment="1">
      <alignment horizontal="center"/>
    </xf>
    <xf numFmtId="4" fontId="1" fillId="5" borderId="1" xfId="0" applyNumberFormat="1" applyFont="1" applyFill="1" applyBorder="1" applyAlignment="1">
      <alignment horizontal="center"/>
    </xf>
    <xf numFmtId="4" fontId="1" fillId="0" borderId="1" xfId="0" applyNumberFormat="1" applyFont="1" applyBorder="1" applyAlignment="1"/>
    <xf numFmtId="4" fontId="2" fillId="5" borderId="1" xfId="0" applyNumberFormat="1" applyFont="1" applyFill="1" applyBorder="1" applyAlignment="1">
      <alignment horizontal="center"/>
    </xf>
    <xf numFmtId="165" fontId="2" fillId="5" borderId="1" xfId="0" applyNumberFormat="1" applyFont="1" applyFill="1" applyBorder="1" applyAlignment="1">
      <alignment horizontal="center"/>
    </xf>
    <xf numFmtId="0" fontId="22" fillId="5" borderId="1" xfId="0" applyFont="1" applyFill="1" applyBorder="1" applyAlignment="1">
      <alignment horizontal="center"/>
    </xf>
    <xf numFmtId="0" fontId="23" fillId="5" borderId="1" xfId="0" applyFont="1" applyFill="1" applyBorder="1" applyAlignment="1">
      <alignment horizontal="left"/>
    </xf>
    <xf numFmtId="0" fontId="23" fillId="5" borderId="1" xfId="0" applyFont="1" applyFill="1" applyBorder="1" applyAlignment="1">
      <alignment horizontal="center"/>
    </xf>
    <xf numFmtId="166" fontId="2" fillId="4" borderId="1" xfId="0" applyNumberFormat="1" applyFont="1" applyFill="1" applyBorder="1" applyAlignment="1">
      <alignment horizontal="center"/>
    </xf>
    <xf numFmtId="4" fontId="20" fillId="0" borderId="8" xfId="0" applyNumberFormat="1" applyFont="1" applyBorder="1" applyAlignment="1"/>
    <xf numFmtId="165" fontId="20" fillId="0" borderId="10" xfId="0" applyNumberFormat="1" applyFont="1" applyBorder="1" applyAlignment="1">
      <alignment horizontal="right"/>
    </xf>
    <xf numFmtId="3" fontId="2" fillId="4" borderId="1" xfId="0" applyNumberFormat="1" applyFont="1" applyFill="1" applyBorder="1" applyAlignment="1">
      <alignment horizontal="center"/>
    </xf>
    <xf numFmtId="0" fontId="20" fillId="0" borderId="10" xfId="0" applyFont="1" applyBorder="1" applyAlignment="1">
      <alignment horizontal="right"/>
    </xf>
    <xf numFmtId="0" fontId="20" fillId="0" borderId="10" xfId="0" applyFont="1" applyBorder="1" applyAlignment="1"/>
    <xf numFmtId="3" fontId="1" fillId="0" borderId="1" xfId="0" applyNumberFormat="1" applyFont="1" applyBorder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4" fontId="1" fillId="0" borderId="0" xfId="0" applyNumberFormat="1" applyFont="1" applyAlignment="1">
      <alignment horizontal="center"/>
    </xf>
    <xf numFmtId="165" fontId="1" fillId="0" borderId="13" xfId="0" applyNumberFormat="1" applyFont="1" applyBorder="1"/>
    <xf numFmtId="165" fontId="1" fillId="0" borderId="13" xfId="0" applyNumberFormat="1" applyFont="1" applyBorder="1" applyAlignment="1">
      <alignment horizontal="center"/>
    </xf>
    <xf numFmtId="0" fontId="25" fillId="7" borderId="0" xfId="0" applyFont="1" applyFill="1" applyAlignment="1">
      <alignment horizontal="center"/>
    </xf>
    <xf numFmtId="0" fontId="25" fillId="7" borderId="14" xfId="0" applyFont="1" applyFill="1" applyBorder="1" applyAlignment="1">
      <alignment horizontal="center"/>
    </xf>
    <xf numFmtId="0" fontId="2" fillId="7" borderId="0" xfId="0" applyFont="1" applyFill="1" applyAlignment="1"/>
    <xf numFmtId="0" fontId="2" fillId="0" borderId="12" xfId="0" applyFont="1" applyBorder="1" applyAlignment="1"/>
    <xf numFmtId="165" fontId="1" fillId="0" borderId="0" xfId="0" applyNumberFormat="1" applyFont="1" applyAlignment="1">
      <alignment horizontal="center"/>
    </xf>
    <xf numFmtId="1" fontId="1" fillId="0" borderId="13" xfId="0" applyNumberFormat="1" applyFont="1" applyBorder="1" applyAlignment="1">
      <alignment horizontal="center"/>
    </xf>
    <xf numFmtId="0" fontId="25" fillId="7" borderId="15" xfId="0" applyFont="1" applyFill="1" applyBorder="1" applyAlignment="1">
      <alignment horizontal="center"/>
    </xf>
    <xf numFmtId="4" fontId="26" fillId="8" borderId="15" xfId="0" applyNumberFormat="1" applyFont="1" applyFill="1" applyBorder="1" applyAlignment="1">
      <alignment horizontal="center"/>
    </xf>
    <xf numFmtId="0" fontId="26" fillId="8" borderId="16" xfId="0" applyFont="1" applyFill="1" applyBorder="1" applyAlignment="1">
      <alignment horizontal="center"/>
    </xf>
    <xf numFmtId="4" fontId="2" fillId="9" borderId="17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8" xfId="0" applyFont="1" applyFill="1" applyBorder="1" applyAlignment="1">
      <alignment horizontal="center"/>
    </xf>
    <xf numFmtId="165" fontId="2" fillId="0" borderId="18" xfId="0" applyNumberFormat="1" applyFont="1" applyBorder="1" applyAlignment="1">
      <alignment horizontal="center"/>
    </xf>
    <xf numFmtId="1" fontId="1" fillId="0" borderId="8" xfId="0" applyNumberFormat="1" applyFont="1" applyBorder="1" applyAlignment="1">
      <alignment horizontal="center"/>
    </xf>
    <xf numFmtId="4" fontId="2" fillId="9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center"/>
    </xf>
    <xf numFmtId="0" fontId="2" fillId="2" borderId="21" xfId="0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0" fontId="13" fillId="7" borderId="0" xfId="0" applyFont="1" applyFill="1" applyAlignment="1">
      <alignment horizontal="center"/>
    </xf>
    <xf numFmtId="0" fontId="13" fillId="7" borderId="18" xfId="0" applyFont="1" applyFill="1" applyBorder="1" applyAlignment="1">
      <alignment horizontal="center"/>
    </xf>
    <xf numFmtId="165" fontId="1" fillId="4" borderId="0" xfId="0" applyNumberFormat="1" applyFont="1" applyFill="1" applyAlignment="1">
      <alignment horizontal="center"/>
    </xf>
    <xf numFmtId="4" fontId="2" fillId="4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4" fontId="25" fillId="7" borderId="0" xfId="0" applyNumberFormat="1" applyFont="1" applyFill="1" applyAlignment="1">
      <alignment horizontal="center"/>
    </xf>
    <xf numFmtId="165" fontId="25" fillId="7" borderId="14" xfId="0" applyNumberFormat="1" applyFont="1" applyFill="1" applyBorder="1" applyAlignment="1">
      <alignment horizontal="center"/>
    </xf>
    <xf numFmtId="0" fontId="2" fillId="7" borderId="0" xfId="0" applyFont="1" applyFill="1" applyAlignment="1"/>
    <xf numFmtId="4" fontId="25" fillId="7" borderId="15" xfId="0" applyNumberFormat="1" applyFont="1" applyFill="1" applyBorder="1" applyAlignment="1">
      <alignment horizontal="center"/>
    </xf>
    <xf numFmtId="0" fontId="2" fillId="0" borderId="0" xfId="0" applyFont="1" applyAlignment="1"/>
    <xf numFmtId="0" fontId="2" fillId="0" borderId="14" xfId="0" applyFont="1" applyBorder="1" applyAlignment="1"/>
    <xf numFmtId="4" fontId="2" fillId="9" borderId="17" xfId="0" applyNumberFormat="1" applyFont="1" applyFill="1" applyBorder="1" applyAlignment="1"/>
    <xf numFmtId="1" fontId="2" fillId="2" borderId="0" xfId="0" applyNumberFormat="1" applyFont="1" applyFill="1" applyAlignment="1">
      <alignment horizontal="center"/>
    </xf>
    <xf numFmtId="165" fontId="2" fillId="0" borderId="18" xfId="0" applyNumberFormat="1" applyFont="1" applyBorder="1" applyAlignment="1">
      <alignment horizontal="right"/>
    </xf>
    <xf numFmtId="0" fontId="25" fillId="7" borderId="22" xfId="0" applyFont="1" applyFill="1" applyBorder="1" applyAlignment="1">
      <alignment horizontal="center"/>
    </xf>
    <xf numFmtId="4" fontId="2" fillId="8" borderId="22" xfId="0" applyNumberFormat="1" applyFont="1" applyFill="1" applyBorder="1" applyAlignment="1"/>
    <xf numFmtId="4" fontId="26" fillId="8" borderId="15" xfId="0" applyNumberFormat="1" applyFont="1" applyFill="1" applyBorder="1" applyAlignment="1">
      <alignment horizontal="center"/>
    </xf>
    <xf numFmtId="4" fontId="26" fillId="8" borderId="15" xfId="0" applyNumberFormat="1" applyFont="1" applyFill="1" applyBorder="1" applyAlignment="1"/>
    <xf numFmtId="0" fontId="26" fillId="8" borderId="16" xfId="0" applyFont="1" applyFill="1" applyBorder="1" applyAlignment="1"/>
    <xf numFmtId="4" fontId="2" fillId="8" borderId="15" xfId="0" applyNumberFormat="1" applyFont="1" applyFill="1" applyBorder="1" applyAlignment="1"/>
    <xf numFmtId="0" fontId="2" fillId="0" borderId="1" xfId="0" applyFont="1" applyBorder="1" applyAlignment="1">
      <alignment horizontal="center"/>
    </xf>
    <xf numFmtId="165" fontId="2" fillId="0" borderId="13" xfId="0" applyNumberFormat="1" applyFont="1" applyBorder="1" applyAlignment="1">
      <alignment horizontal="right"/>
    </xf>
    <xf numFmtId="0" fontId="2" fillId="2" borderId="0" xfId="0" applyFont="1" applyFill="1" applyAlignment="1"/>
    <xf numFmtId="0" fontId="2" fillId="0" borderId="0" xfId="0" applyFont="1" applyAlignment="1"/>
    <xf numFmtId="165" fontId="2" fillId="0" borderId="0" xfId="0" applyNumberFormat="1" applyFont="1" applyAlignment="1"/>
    <xf numFmtId="165" fontId="2" fillId="0" borderId="10" xfId="0" applyNumberFormat="1" applyFont="1" applyBorder="1" applyAlignment="1">
      <alignment horizontal="right"/>
    </xf>
    <xf numFmtId="0" fontId="2" fillId="2" borderId="20" xfId="0" applyFont="1" applyFill="1" applyBorder="1" applyAlignment="1"/>
    <xf numFmtId="165" fontId="2" fillId="0" borderId="8" xfId="0" applyNumberFormat="1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1" fillId="4" borderId="0" xfId="0" applyFont="1" applyFill="1" applyAlignment="1">
      <alignment horizontal="left"/>
    </xf>
    <xf numFmtId="165" fontId="2" fillId="4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4" fontId="6" fillId="4" borderId="0" xfId="0" applyNumberFormat="1" applyFont="1" applyFill="1" applyAlignment="1">
      <alignment horizontal="center"/>
    </xf>
    <xf numFmtId="0" fontId="6" fillId="4" borderId="0" xfId="0" applyFont="1" applyFill="1" applyAlignment="1"/>
    <xf numFmtId="3" fontId="1" fillId="0" borderId="0" xfId="0" applyNumberFormat="1" applyFont="1" applyAlignment="1">
      <alignment horizontal="center"/>
    </xf>
    <xf numFmtId="4" fontId="1" fillId="0" borderId="0" xfId="0" applyNumberFormat="1" applyFont="1"/>
    <xf numFmtId="4" fontId="1" fillId="4" borderId="0" xfId="0" applyNumberFormat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165" fontId="1" fillId="4" borderId="0" xfId="0" applyNumberFormat="1" applyFont="1" applyFill="1"/>
    <xf numFmtId="0" fontId="25" fillId="7" borderId="0" xfId="0" applyFont="1" applyFill="1" applyAlignment="1"/>
    <xf numFmtId="0" fontId="25" fillId="7" borderId="14" xfId="0" applyFont="1" applyFill="1" applyBorder="1" applyAlignment="1"/>
    <xf numFmtId="0" fontId="27" fillId="10" borderId="0" xfId="0" applyFont="1" applyFill="1" applyAlignment="1"/>
    <xf numFmtId="3" fontId="27" fillId="10" borderId="14" xfId="0" applyNumberFormat="1" applyFont="1" applyFill="1" applyBorder="1" applyAlignment="1"/>
    <xf numFmtId="0" fontId="20" fillId="10" borderId="14" xfId="0" applyFont="1" applyFill="1" applyBorder="1" applyAlignment="1"/>
    <xf numFmtId="0" fontId="20" fillId="10" borderId="0" xfId="0" applyFont="1" applyFill="1" applyAlignment="1"/>
    <xf numFmtId="0" fontId="1" fillId="0" borderId="0" xfId="0" applyFont="1" applyAlignment="1">
      <alignment horizontal="left"/>
    </xf>
    <xf numFmtId="0" fontId="28" fillId="7" borderId="15" xfId="0" applyFont="1" applyFill="1" applyBorder="1" applyAlignment="1"/>
    <xf numFmtId="4" fontId="29" fillId="8" borderId="15" xfId="0" applyNumberFormat="1" applyFont="1" applyFill="1" applyBorder="1" applyAlignment="1"/>
    <xf numFmtId="0" fontId="27" fillId="10" borderId="23" xfId="0" applyFont="1" applyFill="1" applyBorder="1" applyAlignment="1"/>
    <xf numFmtId="4" fontId="30" fillId="2" borderId="23" xfId="0" applyNumberFormat="1" applyFont="1" applyFill="1" applyBorder="1" applyAlignment="1">
      <alignment horizontal="center"/>
    </xf>
    <xf numFmtId="0" fontId="30" fillId="2" borderId="23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2" fillId="2" borderId="18" xfId="0" applyFont="1" applyFill="1" applyBorder="1" applyAlignment="1">
      <alignment horizontal="right"/>
    </xf>
    <xf numFmtId="1" fontId="2" fillId="0" borderId="18" xfId="0" applyNumberFormat="1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4" fontId="21" fillId="11" borderId="17" xfId="0" applyNumberFormat="1" applyFont="1" applyFill="1" applyBorder="1" applyAlignment="1"/>
    <xf numFmtId="3" fontId="21" fillId="2" borderId="0" xfId="0" applyNumberFormat="1" applyFont="1" applyFill="1" applyAlignment="1">
      <alignment horizontal="center"/>
    </xf>
    <xf numFmtId="0" fontId="21" fillId="2" borderId="0" xfId="0" applyFont="1" applyFill="1" applyAlignment="1">
      <alignment horizontal="center"/>
    </xf>
    <xf numFmtId="4" fontId="2" fillId="9" borderId="19" xfId="0" applyNumberFormat="1" applyFont="1" applyFill="1" applyBorder="1" applyAlignment="1"/>
    <xf numFmtId="0" fontId="2" fillId="2" borderId="20" xfId="0" applyFont="1" applyFill="1" applyBorder="1" applyAlignment="1">
      <alignment horizontal="right"/>
    </xf>
    <xf numFmtId="0" fontId="2" fillId="2" borderId="21" xfId="0" applyFont="1" applyFill="1" applyBorder="1" applyAlignment="1">
      <alignment horizontal="right"/>
    </xf>
    <xf numFmtId="4" fontId="21" fillId="11" borderId="19" xfId="0" applyNumberFormat="1" applyFont="1" applyFill="1" applyBorder="1" applyAlignment="1"/>
    <xf numFmtId="4" fontId="20" fillId="2" borderId="20" xfId="0" applyNumberFormat="1" applyFont="1" applyFill="1" applyBorder="1" applyAlignment="1"/>
    <xf numFmtId="0" fontId="21" fillId="2" borderId="20" xfId="0" applyFont="1" applyFill="1" applyBorder="1" applyAlignment="1">
      <alignment horizontal="center"/>
    </xf>
    <xf numFmtId="0" fontId="21" fillId="2" borderId="20" xfId="0" applyFont="1" applyFill="1" applyBorder="1" applyAlignment="1">
      <alignment horizontal="center"/>
    </xf>
    <xf numFmtId="165" fontId="6" fillId="4" borderId="0" xfId="0" applyNumberFormat="1" applyFont="1" applyFill="1" applyAlignment="1">
      <alignment horizontal="center"/>
    </xf>
    <xf numFmtId="0" fontId="13" fillId="7" borderId="0" xfId="0" applyFont="1" applyFill="1" applyAlignment="1"/>
    <xf numFmtId="0" fontId="13" fillId="7" borderId="0" xfId="0" applyFont="1" applyFill="1" applyAlignment="1">
      <alignment horizontal="right"/>
    </xf>
    <xf numFmtId="0" fontId="13" fillId="7" borderId="18" xfId="0" applyFont="1" applyFill="1" applyBorder="1" applyAlignment="1">
      <alignment horizontal="right"/>
    </xf>
    <xf numFmtId="0" fontId="31" fillId="10" borderId="0" xfId="0" applyFont="1" applyFill="1" applyAlignment="1"/>
    <xf numFmtId="4" fontId="31" fillId="10" borderId="0" xfId="0" applyNumberFormat="1" applyFont="1" applyFill="1" applyAlignment="1">
      <alignment horizontal="center"/>
    </xf>
    <xf numFmtId="0" fontId="31" fillId="10" borderId="0" xfId="0" applyFont="1" applyFill="1" applyAlignment="1">
      <alignment horizontal="center"/>
    </xf>
    <xf numFmtId="1" fontId="6" fillId="4" borderId="0" xfId="0" applyNumberFormat="1" applyFont="1" applyFill="1" applyAlignment="1">
      <alignment horizontal="center"/>
    </xf>
    <xf numFmtId="1" fontId="1" fillId="0" borderId="0" xfId="0" applyNumberFormat="1" applyFont="1"/>
    <xf numFmtId="0" fontId="32" fillId="2" borderId="0" xfId="0" applyFont="1" applyFill="1"/>
    <xf numFmtId="2" fontId="1" fillId="4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right"/>
    </xf>
    <xf numFmtId="0" fontId="19" fillId="2" borderId="0" xfId="0" applyFont="1" applyFill="1" applyAlignment="1"/>
    <xf numFmtId="0" fontId="0" fillId="0" borderId="24" xfId="0" pivotButton="1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4" fontId="0" fillId="0" borderId="24" xfId="0" applyNumberFormat="1" applyFont="1" applyBorder="1" applyAlignment="1"/>
    <xf numFmtId="4" fontId="0" fillId="0" borderId="27" xfId="0" applyNumberFormat="1" applyFont="1" applyBorder="1" applyAlignment="1"/>
    <xf numFmtId="4" fontId="0" fillId="0" borderId="28" xfId="0" applyNumberFormat="1" applyFont="1" applyBorder="1" applyAlignment="1"/>
    <xf numFmtId="0" fontId="0" fillId="0" borderId="24" xfId="0" applyNumberFormat="1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  <xf numFmtId="4" fontId="0" fillId="0" borderId="29" xfId="0" applyNumberFormat="1" applyFont="1" applyBorder="1" applyAlignment="1"/>
    <xf numFmtId="0" fontId="0" fillId="0" borderId="29" xfId="0" applyNumberFormat="1" applyFont="1" applyBorder="1" applyAlignment="1"/>
    <xf numFmtId="0" fontId="0" fillId="0" borderId="14" xfId="0" applyNumberFormat="1" applyFont="1" applyBorder="1" applyAlignment="1"/>
    <xf numFmtId="0" fontId="0" fillId="0" borderId="30" xfId="0" applyNumberFormat="1" applyFont="1" applyBorder="1" applyAlignment="1"/>
    <xf numFmtId="4" fontId="0" fillId="0" borderId="31" xfId="0" applyNumberFormat="1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  <xf numFmtId="0" fontId="1" fillId="0" borderId="2" xfId="0" applyFont="1" applyBorder="1" applyAlignment="1">
      <alignment horizontal="center"/>
    </xf>
    <xf numFmtId="0" fontId="8" fillId="0" borderId="3" xfId="0" applyFont="1" applyBorder="1"/>
    <xf numFmtId="0" fontId="10" fillId="0" borderId="0" xfId="0" applyFont="1" applyAlignment="1"/>
    <xf numFmtId="0" fontId="0" fillId="0" borderId="0" xfId="0" applyFont="1" applyAlignment="1"/>
    <xf numFmtId="0" fontId="7" fillId="5" borderId="2" xfId="0" applyFont="1" applyFill="1" applyBorder="1" applyAlignment="1">
      <alignment horizontal="center"/>
    </xf>
    <xf numFmtId="0" fontId="8" fillId="0" borderId="9" xfId="0" applyFont="1" applyBorder="1"/>
    <xf numFmtId="0" fontId="10" fillId="5" borderId="2" xfId="0" applyFont="1" applyFill="1" applyBorder="1" applyAlignment="1">
      <alignment horizontal="center"/>
    </xf>
    <xf numFmtId="0" fontId="1" fillId="0" borderId="2" xfId="0" applyFont="1" applyBorder="1"/>
    <xf numFmtId="0" fontId="15" fillId="5" borderId="2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8" fillId="0" borderId="10" xfId="0" applyFont="1" applyBorder="1"/>
    <xf numFmtId="0" fontId="2" fillId="5" borderId="7" xfId="0" applyFont="1" applyFill="1" applyBorder="1" applyAlignment="1"/>
    <xf numFmtId="0" fontId="1" fillId="0" borderId="2" xfId="0" applyFont="1" applyBorder="1" applyAlignment="1"/>
    <xf numFmtId="0" fontId="1" fillId="5" borderId="2" xfId="0" applyFont="1" applyFill="1" applyBorder="1" applyAlignment="1"/>
    <xf numFmtId="0" fontId="16" fillId="5" borderId="2" xfId="0" applyFont="1" applyFill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7" fillId="5" borderId="4" xfId="0" applyFont="1" applyFill="1" applyBorder="1" applyAlignment="1">
      <alignment horizontal="center"/>
    </xf>
    <xf numFmtId="0" fontId="8" fillId="0" borderId="5" xfId="0" applyFont="1" applyBorder="1"/>
    <xf numFmtId="0" fontId="8" fillId="0" borderId="6" xfId="0" applyFont="1" applyBorder="1"/>
    <xf numFmtId="0" fontId="1" fillId="4" borderId="2" xfId="0" applyFont="1" applyFill="1" applyBorder="1" applyAlignment="1">
      <alignment horizontal="center"/>
    </xf>
    <xf numFmtId="0" fontId="7" fillId="5" borderId="2" xfId="0" applyFont="1" applyFill="1" applyBorder="1" applyAlignment="1"/>
    <xf numFmtId="0" fontId="6" fillId="0" borderId="2" xfId="0" applyFont="1" applyBorder="1" applyAlignment="1">
      <alignment horizontal="center"/>
    </xf>
    <xf numFmtId="165" fontId="1" fillId="0" borderId="2" xfId="0" applyNumberFormat="1" applyFont="1" applyBorder="1" applyAlignment="1">
      <alignment horizontal="center"/>
    </xf>
    <xf numFmtId="0" fontId="2" fillId="0" borderId="7" xfId="0" applyFont="1" applyBorder="1" applyAlignment="1"/>
    <xf numFmtId="4" fontId="1" fillId="5" borderId="2" xfId="0" applyNumberFormat="1" applyFont="1" applyFill="1" applyBorder="1" applyAlignment="1">
      <alignment horizontal="center"/>
    </xf>
    <xf numFmtId="0" fontId="10" fillId="5" borderId="2" xfId="0" applyFont="1" applyFill="1" applyBorder="1" applyAlignment="1"/>
    <xf numFmtId="0" fontId="10" fillId="5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4" fontId="7" fillId="5" borderId="2" xfId="0" applyNumberFormat="1" applyFont="1" applyFill="1" applyBorder="1" applyAlignment="1">
      <alignment horizontal="left"/>
    </xf>
    <xf numFmtId="0" fontId="17" fillId="0" borderId="0" xfId="0" applyFont="1" applyAlignment="1">
      <alignment horizontal="left"/>
    </xf>
    <xf numFmtId="0" fontId="1" fillId="5" borderId="2" xfId="0" applyFont="1" applyFill="1" applyBorder="1" applyAlignment="1">
      <alignment horizontal="center"/>
    </xf>
    <xf numFmtId="4" fontId="10" fillId="5" borderId="2" xfId="0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5" fillId="7" borderId="0" xfId="0" applyFont="1" applyFill="1" applyAlignment="1">
      <alignment horizontal="center"/>
    </xf>
    <xf numFmtId="49" fontId="2" fillId="2" borderId="0" xfId="0" applyNumberFormat="1" applyFont="1" applyFill="1" applyAlignment="1"/>
    <xf numFmtId="49" fontId="2" fillId="3" borderId="0" xfId="0" applyNumberFormat="1" applyFont="1" applyFill="1" applyAlignment="1"/>
  </cellXfs>
  <cellStyles count="1">
    <cellStyle name="Normal" xfId="0" builtinId="0"/>
  </cellStyles>
  <dxfs count="1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BEFF1"/>
          <bgColor rgb="FFEBEFF1"/>
        </patternFill>
      </fill>
    </dxf>
  </dxfs>
  <tableStyles count="5">
    <tableStyle name="Dados excel-style" pivot="0" count="2">
      <tableStyleElement type="firstRowStripe" dxfId="12"/>
      <tableStyleElement type="secondRowStripe" dxfId="11"/>
    </tableStyle>
    <tableStyle name="Dados excel-style 2" pivot="0" count="3">
      <tableStyleElement type="headerRow" dxfId="10"/>
      <tableStyleElement type="firstRowStripe" dxfId="9"/>
      <tableStyleElement type="secondRowStripe" dxfId="8"/>
    </tableStyle>
    <tableStyle name="Dados excel-style 3" pivot="0" count="3">
      <tableStyleElement type="headerRow" dxfId="7"/>
      <tableStyleElement type="firstRowStripe" dxfId="6"/>
      <tableStyleElement type="secondRowStripe" dxfId="5"/>
    </tableStyle>
    <tableStyle name="Dados excel-style 4" pivot="0" count="3">
      <tableStyleElement type="headerRow" dxfId="4"/>
      <tableStyleElement type="firstRowStripe" dxfId="3"/>
      <tableStyleElement type="secondRowStripe" dxfId="2"/>
    </tableStyle>
    <tableStyle name="Gráficos-style" pivot="0" count="2"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pt-PT" b="0">
                <a:solidFill>
                  <a:srgbClr val="838383"/>
                </a:solidFill>
                <a:latin typeface="+mn-lt"/>
              </a:rPr>
              <a:t>Percentagem faixa etárias dos inquiridos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'folha de calculos'!$C$14:$C$15</c:f>
              <c:strCache>
                <c:ptCount val="2"/>
                <c:pt idx="0">
                  <c:v>Respostas à 2ª pergunta: faixa etária</c:v>
                </c:pt>
                <c:pt idx="1">
                  <c:v>Número</c:v>
                </c:pt>
              </c:strCache>
            </c:strRef>
          </c:tx>
          <c:dPt>
            <c:idx val="0"/>
            <c:bubble3D val="0"/>
            <c:spPr>
              <a:solidFill>
                <a:srgbClr val="1A9988"/>
              </a:solidFill>
            </c:spPr>
            <c:extLst>
              <c:ext xmlns:c16="http://schemas.microsoft.com/office/drawing/2014/chart" uri="{C3380CC4-5D6E-409C-BE32-E72D297353CC}">
                <c16:uniqueId val="{00000001-F7EE-C34F-98C1-957DD731946E}"/>
              </c:ext>
            </c:extLst>
          </c:dPt>
          <c:dPt>
            <c:idx val="1"/>
            <c:bubble3D val="0"/>
            <c:spPr>
              <a:solidFill>
                <a:srgbClr val="3C78D8"/>
              </a:solidFill>
            </c:spPr>
            <c:extLst>
              <c:ext xmlns:c16="http://schemas.microsoft.com/office/drawing/2014/chart" uri="{C3380CC4-5D6E-409C-BE32-E72D297353CC}">
                <c16:uniqueId val="{00000003-F7EE-C34F-98C1-957DD731946E}"/>
              </c:ext>
            </c:extLst>
          </c:dPt>
          <c:dPt>
            <c:idx val="2"/>
            <c:bubble3D val="0"/>
            <c:spPr>
              <a:solidFill>
                <a:srgbClr val="1F3E78"/>
              </a:solidFill>
            </c:spPr>
            <c:extLst>
              <c:ext xmlns:c16="http://schemas.microsoft.com/office/drawing/2014/chart" uri="{C3380CC4-5D6E-409C-BE32-E72D297353CC}">
                <c16:uniqueId val="{00000005-F7EE-C34F-98C1-957DD731946E}"/>
              </c:ext>
            </c:extLst>
          </c:dPt>
          <c:dPt>
            <c:idx val="3"/>
            <c:bubble3D val="0"/>
            <c:spPr>
              <a:solidFill>
                <a:srgbClr val="EB5600"/>
              </a:solidFill>
            </c:spPr>
            <c:extLst>
              <c:ext xmlns:c16="http://schemas.microsoft.com/office/drawing/2014/chart" uri="{C3380CC4-5D6E-409C-BE32-E72D297353CC}">
                <c16:uniqueId val="{00000007-F7EE-C34F-98C1-957DD731946E}"/>
              </c:ext>
            </c:extLst>
          </c:dPt>
          <c:dPt>
            <c:idx val="4"/>
            <c:bubble3D val="0"/>
            <c:spPr>
              <a:solidFill>
                <a:srgbClr val="FF99AC"/>
              </a:solidFill>
            </c:spPr>
            <c:extLst>
              <c:ext xmlns:c16="http://schemas.microsoft.com/office/drawing/2014/chart" uri="{C3380CC4-5D6E-409C-BE32-E72D297353CC}">
                <c16:uniqueId val="{00000009-F7EE-C34F-98C1-957DD731946E}"/>
              </c:ext>
            </c:extLst>
          </c:dPt>
          <c:dPt>
            <c:idx val="5"/>
            <c:bubble3D val="0"/>
            <c:spPr>
              <a:solidFill>
                <a:srgbClr val="FFD4B8"/>
              </a:solidFill>
            </c:spPr>
            <c:extLst>
              <c:ext xmlns:c16="http://schemas.microsoft.com/office/drawing/2014/chart" uri="{C3380CC4-5D6E-409C-BE32-E72D297353CC}">
                <c16:uniqueId val="{0000000B-F7EE-C34F-98C1-957DD731946E}"/>
              </c:ext>
            </c:extLst>
          </c:dPt>
          <c:dPt>
            <c:idx val="6"/>
            <c:bubble3D val="0"/>
            <c:spPr>
              <a:solidFill>
                <a:srgbClr val="5FB8AC"/>
              </a:solidFill>
            </c:spPr>
            <c:extLst>
              <c:ext xmlns:c16="http://schemas.microsoft.com/office/drawing/2014/chart" uri="{C3380CC4-5D6E-409C-BE32-E72D297353CC}">
                <c16:uniqueId val="{0000000D-F7EE-C34F-98C1-957DD731946E}"/>
              </c:ext>
            </c:extLst>
          </c:dPt>
          <c:cat>
            <c:strRef>
              <c:f>'folha de calculos'!$B$16:$B$22</c:f>
              <c:strCache>
                <c:ptCount val="7"/>
                <c:pt idx="0">
                  <c:v>&gt;18</c:v>
                </c:pt>
                <c:pt idx="1">
                  <c:v>18-23</c:v>
                </c:pt>
                <c:pt idx="2">
                  <c:v>24-29</c:v>
                </c:pt>
                <c:pt idx="3">
                  <c:v>30-35</c:v>
                </c:pt>
                <c:pt idx="4">
                  <c:v>36-41</c:v>
                </c:pt>
                <c:pt idx="5">
                  <c:v>&lt;41</c:v>
                </c:pt>
                <c:pt idx="6">
                  <c:v>Total</c:v>
                </c:pt>
              </c:strCache>
            </c:strRef>
          </c:cat>
          <c:val>
            <c:numRef>
              <c:f>'folha de calculos'!$C$16:$C$22</c:f>
              <c:numCache>
                <c:formatCode>General</c:formatCode>
                <c:ptCount val="7"/>
                <c:pt idx="0">
                  <c:v>45</c:v>
                </c:pt>
                <c:pt idx="1">
                  <c:v>148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  <c:pt idx="5">
                  <c:v>7</c:v>
                </c:pt>
                <c:pt idx="6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7EE-C34F-98C1-957DD731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pt-PT" b="0">
                <a:solidFill>
                  <a:srgbClr val="838383"/>
                </a:solidFill>
                <a:latin typeface="+mn-lt"/>
              </a:rPr>
              <a:t>Percentagem de casos de assédio por distrito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'folha de calculos'!$AB$128:$AB$129</c:f>
              <c:strCache>
                <c:ptCount val="2"/>
                <c:pt idx="0">
                  <c:v>Percentagem de casos de assédio por distrito</c:v>
                </c:pt>
                <c:pt idx="1">
                  <c:v>% de Não</c:v>
                </c:pt>
              </c:strCache>
            </c:strRef>
          </c:tx>
          <c:spPr>
            <a:solidFill>
              <a:srgbClr val="1A998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calculos'!$AA$130:$AA$141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calculos'!$AB$130:$AB$141</c:f>
              <c:numCache>
                <c:formatCode>0.0</c:formatCode>
                <c:ptCount val="12"/>
                <c:pt idx="0">
                  <c:v>46.153846153846153</c:v>
                </c:pt>
                <c:pt idx="1">
                  <c:v>62.5</c:v>
                </c:pt>
                <c:pt idx="2" formatCode="0">
                  <c:v>0</c:v>
                </c:pt>
                <c:pt idx="3" formatCode="0">
                  <c:v>100</c:v>
                </c:pt>
                <c:pt idx="4">
                  <c:v>40.322580645161288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100</c:v>
                </c:pt>
                <c:pt idx="8">
                  <c:v>52.38095238095238</c:v>
                </c:pt>
                <c:pt idx="9">
                  <c:v>64.444444444444443</c:v>
                </c:pt>
                <c:pt idx="10" formatCode="0">
                  <c:v>60</c:v>
                </c:pt>
                <c:pt idx="11">
                  <c:v>33.333333333333336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909-9B44-A190-396E47C0FB37}"/>
            </c:ext>
          </c:extLst>
        </c:ser>
        <c:ser>
          <c:idx val="1"/>
          <c:order val="1"/>
          <c:tx>
            <c:strRef>
              <c:f>'folha de calculos'!$AC$128:$AC$129</c:f>
              <c:strCache>
                <c:ptCount val="2"/>
                <c:pt idx="0">
                  <c:v>Percentagem de casos de assédio por distrito</c:v>
                </c:pt>
                <c:pt idx="1">
                  <c:v>% de Sm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calculos'!$AA$130:$AA$141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calculos'!$AC$130:$AC$141</c:f>
              <c:numCache>
                <c:formatCode>0.0</c:formatCode>
                <c:ptCount val="12"/>
                <c:pt idx="0">
                  <c:v>53.846153846153847</c:v>
                </c:pt>
                <c:pt idx="1">
                  <c:v>37.5</c:v>
                </c:pt>
                <c:pt idx="2" formatCode="0">
                  <c:v>100</c:v>
                </c:pt>
                <c:pt idx="3" formatCode="0">
                  <c:v>0</c:v>
                </c:pt>
                <c:pt idx="4">
                  <c:v>59.677419354838712</c:v>
                </c:pt>
                <c:pt idx="5" formatCode="0">
                  <c:v>100</c:v>
                </c:pt>
                <c:pt idx="6" formatCode="0">
                  <c:v>100</c:v>
                </c:pt>
                <c:pt idx="7" formatCode="0">
                  <c:v>0</c:v>
                </c:pt>
                <c:pt idx="8">
                  <c:v>47.61904761904762</c:v>
                </c:pt>
                <c:pt idx="9">
                  <c:v>35.555555555555557</c:v>
                </c:pt>
                <c:pt idx="10" formatCode="0">
                  <c:v>40</c:v>
                </c:pt>
                <c:pt idx="11">
                  <c:v>66.666666666666671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909-9B44-A190-396E47C0F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4699925"/>
        <c:axId val="738166250"/>
      </c:barChart>
      <c:catAx>
        <c:axId val="81469992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1A1A1A"/>
                    </a:solidFill>
                    <a:latin typeface="+mn-lt"/>
                  </a:rPr>
                  <a:t>Percentagem de casos de assédio por distrito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738166250"/>
        <c:crosses val="autoZero"/>
        <c:auto val="1"/>
        <c:lblAlgn val="ctr"/>
        <c:lblOffset val="100"/>
        <c:noMultiLvlLbl val="1"/>
      </c:catAx>
      <c:valAx>
        <c:axId val="7381662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814699925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pt-PT" b="0">
                <a:solidFill>
                  <a:srgbClr val="838383"/>
                </a:solidFill>
                <a:latin typeface="+mn-lt"/>
              </a:rPr>
              <a:t>Percentagem de sentimento de segurança ao sair à noite por distritos</a:t>
            </a:r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'folha de calculos'!$AA$146:$AA$147</c:f>
              <c:strCache>
                <c:ptCount val="2"/>
                <c:pt idx="0">
                  <c:v>Sentimento de segurança ao sair à noite por distritos</c:v>
                </c:pt>
                <c:pt idx="1">
                  <c:v>% Muito seguro</c:v>
                </c:pt>
              </c:strCache>
            </c:strRef>
          </c:tx>
          <c:spPr>
            <a:solidFill>
              <a:srgbClr val="1A998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calculos'!$Z$148:$Z$159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calculos'!$AA$148:$AA$159</c:f>
              <c:numCache>
                <c:formatCode>General</c:formatCode>
                <c:ptCount val="12"/>
                <c:pt idx="0" formatCode="0.0">
                  <c:v>5.1282051282051286</c:v>
                </c:pt>
                <c:pt idx="1">
                  <c:v>12.5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">
                  <c:v>33.333333333333336</c:v>
                </c:pt>
                <c:pt idx="8" formatCode="0.0">
                  <c:v>4.7619047619047619</c:v>
                </c:pt>
                <c:pt idx="9" formatCode="0.0">
                  <c:v>13.333333333333334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CE9-A949-8138-B759D49E4B82}"/>
            </c:ext>
          </c:extLst>
        </c:ser>
        <c:ser>
          <c:idx val="1"/>
          <c:order val="1"/>
          <c:tx>
            <c:strRef>
              <c:f>'folha de calculos'!$AB$146:$AB$147</c:f>
              <c:strCache>
                <c:ptCount val="2"/>
                <c:pt idx="0">
                  <c:v>Sentimento de segurança ao sair à noite por distritos</c:v>
                </c:pt>
                <c:pt idx="1">
                  <c:v>% Pouco Seguro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calculos'!$Z$148:$Z$159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calculos'!$AB$148:$AB$159</c:f>
              <c:numCache>
                <c:formatCode>General</c:formatCode>
                <c:ptCount val="12"/>
                <c:pt idx="0" formatCode="0.0">
                  <c:v>15.384615384615385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22.580645161290324</c:v>
                </c:pt>
                <c:pt idx="5">
                  <c:v>0</c:v>
                </c:pt>
                <c:pt idx="6" formatCode="0">
                  <c:v>66.666666666666671</c:v>
                </c:pt>
                <c:pt idx="7" formatCode="0.0">
                  <c:v>33.333333333333336</c:v>
                </c:pt>
                <c:pt idx="8" formatCode="0.0">
                  <c:v>23.80952380952381</c:v>
                </c:pt>
                <c:pt idx="9" formatCode="0.0">
                  <c:v>22.222222222222221</c:v>
                </c:pt>
                <c:pt idx="10">
                  <c:v>60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CE9-A949-8138-B759D49E4B82}"/>
            </c:ext>
          </c:extLst>
        </c:ser>
        <c:ser>
          <c:idx val="2"/>
          <c:order val="2"/>
          <c:tx>
            <c:strRef>
              <c:f>'folha de calculos'!$AC$146:$AC$147</c:f>
              <c:strCache>
                <c:ptCount val="2"/>
                <c:pt idx="0">
                  <c:v>Sentimento de segurança ao sair à noite por distritos</c:v>
                </c:pt>
                <c:pt idx="1">
                  <c:v>% Seguro</c:v>
                </c:pt>
              </c:strCache>
            </c:strRef>
          </c:tx>
          <c:spPr>
            <a:solidFill>
              <a:srgbClr val="1F3E7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calculos'!$Z$148:$Z$159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calculos'!$AC$148:$AC$159</c:f>
              <c:numCache>
                <c:formatCode>General</c:formatCode>
                <c:ptCount val="12"/>
                <c:pt idx="0" formatCode="0.0">
                  <c:v>79.487179487179489</c:v>
                </c:pt>
                <c:pt idx="1">
                  <c:v>87.5</c:v>
                </c:pt>
                <c:pt idx="2">
                  <c:v>100</c:v>
                </c:pt>
                <c:pt idx="3">
                  <c:v>100</c:v>
                </c:pt>
                <c:pt idx="4" formatCode="0.0">
                  <c:v>77.41935483870968</c:v>
                </c:pt>
                <c:pt idx="5">
                  <c:v>100</c:v>
                </c:pt>
                <c:pt idx="6" formatCode="0">
                  <c:v>33.333333333333336</c:v>
                </c:pt>
                <c:pt idx="7" formatCode="0.0">
                  <c:v>33.333333333333336</c:v>
                </c:pt>
                <c:pt idx="8" formatCode="0.0">
                  <c:v>71.428571428571431</c:v>
                </c:pt>
                <c:pt idx="9" formatCode="0.0">
                  <c:v>64.444444444444443</c:v>
                </c:pt>
                <c:pt idx="10">
                  <c:v>40</c:v>
                </c:pt>
                <c:pt idx="11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CE9-A949-8138-B759D49E4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4971298"/>
        <c:axId val="2137953042"/>
        <c:axId val="0"/>
      </c:bar3DChart>
      <c:catAx>
        <c:axId val="13949712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2137953042"/>
        <c:crosses val="autoZero"/>
        <c:auto val="1"/>
        <c:lblAlgn val="ctr"/>
        <c:lblOffset val="100"/>
        <c:noMultiLvlLbl val="1"/>
      </c:catAx>
      <c:valAx>
        <c:axId val="21379530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139497129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pt-PT" b="0">
                <a:solidFill>
                  <a:srgbClr val="838383"/>
                </a:solidFill>
                <a:latin typeface="+mn-lt"/>
              </a:rPr>
              <a:t>Percentagem de sentimento de segurança ao sair à noite pós-covid por distrito</a:t>
            </a:r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'folha de calculos'!$AF$128:$AF$129</c:f>
              <c:strCache>
                <c:ptCount val="2"/>
                <c:pt idx="0">
                  <c:v>Sentimento de segurança ao sair à noite pós-covid por distrito</c:v>
                </c:pt>
                <c:pt idx="1">
                  <c:v>% Igualmente seguro</c:v>
                </c:pt>
              </c:strCache>
            </c:strRef>
          </c:tx>
          <c:spPr>
            <a:solidFill>
              <a:srgbClr val="1A998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calculos'!$AE$130:$AE$141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calculos'!$AF$130:$AF$141</c:f>
              <c:numCache>
                <c:formatCode>General</c:formatCode>
                <c:ptCount val="12"/>
                <c:pt idx="0" formatCode="0.0">
                  <c:v>82.051282051282058</c:v>
                </c:pt>
                <c:pt idx="1">
                  <c:v>75</c:v>
                </c:pt>
                <c:pt idx="2">
                  <c:v>0</c:v>
                </c:pt>
                <c:pt idx="3">
                  <c:v>100</c:v>
                </c:pt>
                <c:pt idx="4" formatCode="0.0">
                  <c:v>66.129032258064512</c:v>
                </c:pt>
                <c:pt idx="5">
                  <c:v>0</c:v>
                </c:pt>
                <c:pt idx="6" formatCode="0.0">
                  <c:v>66.666666666666671</c:v>
                </c:pt>
                <c:pt idx="7" formatCode="0.0">
                  <c:v>66.666666666666671</c:v>
                </c:pt>
                <c:pt idx="8" formatCode="0.0">
                  <c:v>42.857142857142854</c:v>
                </c:pt>
                <c:pt idx="9" formatCode="0.0">
                  <c:v>62.222222222222221</c:v>
                </c:pt>
                <c:pt idx="10">
                  <c:v>40</c:v>
                </c:pt>
                <c:pt idx="11" formatCode="0.0">
                  <c:v>66.666666666666671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6C1-9146-BEDE-AA374FCDF4E3}"/>
            </c:ext>
          </c:extLst>
        </c:ser>
        <c:ser>
          <c:idx val="1"/>
          <c:order val="1"/>
          <c:tx>
            <c:strRef>
              <c:f>'folha de calculos'!$AG$128:$AG$129</c:f>
              <c:strCache>
                <c:ptCount val="2"/>
                <c:pt idx="0">
                  <c:v>Sentimento de segurança ao sair à noite pós-covid por distrito</c:v>
                </c:pt>
                <c:pt idx="1">
                  <c:v>Mais seguro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calculos'!$AE$130:$AE$141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calculos'!$AG$130:$AG$141</c:f>
              <c:numCache>
                <c:formatCode>General</c:formatCode>
                <c:ptCount val="12"/>
                <c:pt idx="0" formatCode="0.0">
                  <c:v>5.1282051282051286</c:v>
                </c:pt>
                <c:pt idx="1">
                  <c:v>12.5</c:v>
                </c:pt>
                <c:pt idx="2">
                  <c:v>0</c:v>
                </c:pt>
                <c:pt idx="3">
                  <c:v>0</c:v>
                </c:pt>
                <c:pt idx="4" formatCode="0.0">
                  <c:v>6.4516129032258061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">
                  <c:v>14.285714285714286</c:v>
                </c:pt>
                <c:pt idx="9" formatCode="0.0">
                  <c:v>13.333333333333334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6C1-9146-BEDE-AA374FCDF4E3}"/>
            </c:ext>
          </c:extLst>
        </c:ser>
        <c:ser>
          <c:idx val="2"/>
          <c:order val="2"/>
          <c:tx>
            <c:strRef>
              <c:f>'folha de calculos'!$AH$128:$AH$129</c:f>
              <c:strCache>
                <c:ptCount val="2"/>
                <c:pt idx="0">
                  <c:v>Sentimento de segurança ao sair à noite pós-covid por distrito</c:v>
                </c:pt>
                <c:pt idx="1">
                  <c:v>Menos Seguro</c:v>
                </c:pt>
              </c:strCache>
            </c:strRef>
          </c:tx>
          <c:spPr>
            <a:solidFill>
              <a:srgbClr val="1F3E7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calculos'!$AE$130:$AE$141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calculos'!$AH$130:$AH$141</c:f>
              <c:numCache>
                <c:formatCode>General</c:formatCode>
                <c:ptCount val="12"/>
                <c:pt idx="0" formatCode="0.0">
                  <c:v>12.820512820512821</c:v>
                </c:pt>
                <c:pt idx="1">
                  <c:v>12.5</c:v>
                </c:pt>
                <c:pt idx="2">
                  <c:v>100</c:v>
                </c:pt>
                <c:pt idx="3">
                  <c:v>0</c:v>
                </c:pt>
                <c:pt idx="4" formatCode="0.0">
                  <c:v>27.419354838709676</c:v>
                </c:pt>
                <c:pt idx="5">
                  <c:v>100</c:v>
                </c:pt>
                <c:pt idx="6" formatCode="0.0">
                  <c:v>33.333333333333336</c:v>
                </c:pt>
                <c:pt idx="7" formatCode="0.0">
                  <c:v>33.333333333333336</c:v>
                </c:pt>
                <c:pt idx="8" formatCode="0.0">
                  <c:v>42.857142857142854</c:v>
                </c:pt>
                <c:pt idx="9" formatCode="0.0">
                  <c:v>24.444444444444443</c:v>
                </c:pt>
                <c:pt idx="10">
                  <c:v>60</c:v>
                </c:pt>
                <c:pt idx="11" formatCode="0.0">
                  <c:v>33.333333333333336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6C1-9146-BEDE-AA374FCDF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2669838"/>
        <c:axId val="387158949"/>
        <c:axId val="0"/>
      </c:bar3DChart>
      <c:catAx>
        <c:axId val="832669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387158949"/>
        <c:crosses val="autoZero"/>
        <c:auto val="1"/>
        <c:lblAlgn val="ctr"/>
        <c:lblOffset val="100"/>
        <c:noMultiLvlLbl val="1"/>
      </c:catAx>
      <c:valAx>
        <c:axId val="3871589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83266983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pt-PT" b="0">
                <a:solidFill>
                  <a:srgbClr val="838383"/>
                </a:solidFill>
                <a:latin typeface="+mn-lt"/>
              </a:rPr>
              <a:t>Saídas à noite por faixas etárias</a:t>
            </a:r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'folha de calculos'!$C$128:$C$129</c:f>
              <c:strCache>
                <c:ptCount val="2"/>
                <c:pt idx="0">
                  <c:v>Saídas à noite por faixas etárias</c:v>
                </c:pt>
                <c:pt idx="1">
                  <c:v>não</c:v>
                </c:pt>
              </c:strCache>
            </c:strRef>
          </c:tx>
          <c:spPr>
            <a:solidFill>
              <a:srgbClr val="1F3E7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calculos'!$B$130:$B$135</c:f>
              <c:strCache>
                <c:ptCount val="6"/>
                <c:pt idx="0">
                  <c:v>&lt;18</c:v>
                </c:pt>
                <c:pt idx="1">
                  <c:v>18-23</c:v>
                </c:pt>
                <c:pt idx="2">
                  <c:v>24-29</c:v>
                </c:pt>
                <c:pt idx="3">
                  <c:v>30-35</c:v>
                </c:pt>
                <c:pt idx="4">
                  <c:v>36-41</c:v>
                </c:pt>
                <c:pt idx="5">
                  <c:v>&gt;41</c:v>
                </c:pt>
              </c:strCache>
            </c:strRef>
          </c:cat>
          <c:val>
            <c:numRef>
              <c:f>'folha de calculos'!$C$130:$C$135</c:f>
              <c:numCache>
                <c:formatCode>General</c:formatCode>
                <c:ptCount val="6"/>
                <c:pt idx="0">
                  <c:v>6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910-5049-836E-7E676B8FEA59}"/>
            </c:ext>
          </c:extLst>
        </c:ser>
        <c:ser>
          <c:idx val="1"/>
          <c:order val="1"/>
          <c:tx>
            <c:strRef>
              <c:f>'folha de calculos'!$D$128:$D$129</c:f>
              <c:strCache>
                <c:ptCount val="2"/>
                <c:pt idx="0">
                  <c:v>Saídas à noite por faixas etárias</c:v>
                </c:pt>
                <c:pt idx="1">
                  <c:v>% de não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calculos'!$B$130:$B$135</c:f>
              <c:strCache>
                <c:ptCount val="6"/>
                <c:pt idx="0">
                  <c:v>&lt;18</c:v>
                </c:pt>
                <c:pt idx="1">
                  <c:v>18-23</c:v>
                </c:pt>
                <c:pt idx="2">
                  <c:v>24-29</c:v>
                </c:pt>
                <c:pt idx="3">
                  <c:v>30-35</c:v>
                </c:pt>
                <c:pt idx="4">
                  <c:v>36-41</c:v>
                </c:pt>
                <c:pt idx="5">
                  <c:v>&gt;41</c:v>
                </c:pt>
              </c:strCache>
            </c:strRef>
          </c:cat>
          <c:val>
            <c:numRef>
              <c:f>'folha de calculos'!$D$130:$D$135</c:f>
              <c:numCache>
                <c:formatCode>0</c:formatCode>
                <c:ptCount val="6"/>
                <c:pt idx="0">
                  <c:v>13.333333333333334</c:v>
                </c:pt>
                <c:pt idx="1">
                  <c:v>17.567567567567568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57.142857142857146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910-5049-836E-7E676B8FEA59}"/>
            </c:ext>
          </c:extLst>
        </c:ser>
        <c:ser>
          <c:idx val="2"/>
          <c:order val="2"/>
          <c:tx>
            <c:strRef>
              <c:f>'folha de calculos'!$E$128:$E$129</c:f>
              <c:strCache>
                <c:ptCount val="2"/>
                <c:pt idx="0">
                  <c:v>Saídas à noite por faixas etárias</c:v>
                </c:pt>
                <c:pt idx="1">
                  <c:v>sim</c:v>
                </c:pt>
              </c:strCache>
            </c:strRef>
          </c:tx>
          <c:spPr>
            <a:solidFill>
              <a:srgbClr val="FFD4B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calculos'!$B$130:$B$135</c:f>
              <c:strCache>
                <c:ptCount val="6"/>
                <c:pt idx="0">
                  <c:v>&lt;18</c:v>
                </c:pt>
                <c:pt idx="1">
                  <c:v>18-23</c:v>
                </c:pt>
                <c:pt idx="2">
                  <c:v>24-29</c:v>
                </c:pt>
                <c:pt idx="3">
                  <c:v>30-35</c:v>
                </c:pt>
                <c:pt idx="4">
                  <c:v>36-41</c:v>
                </c:pt>
                <c:pt idx="5">
                  <c:v>&gt;41</c:v>
                </c:pt>
              </c:strCache>
            </c:strRef>
          </c:cat>
          <c:val>
            <c:numRef>
              <c:f>'folha de calculos'!$E$130:$E$135</c:f>
              <c:numCache>
                <c:formatCode>General</c:formatCode>
                <c:ptCount val="6"/>
                <c:pt idx="0">
                  <c:v>39</c:v>
                </c:pt>
                <c:pt idx="1">
                  <c:v>122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910-5049-836E-7E676B8FEA59}"/>
            </c:ext>
          </c:extLst>
        </c:ser>
        <c:ser>
          <c:idx val="3"/>
          <c:order val="3"/>
          <c:tx>
            <c:strRef>
              <c:f>'folha de calculos'!$F$128:$F$129</c:f>
              <c:strCache>
                <c:ptCount val="2"/>
                <c:pt idx="0">
                  <c:v>Saídas à noite por faixas etárias</c:v>
                </c:pt>
                <c:pt idx="1">
                  <c:v>% de sim</c:v>
                </c:pt>
              </c:strCache>
            </c:strRef>
          </c:tx>
          <c:spPr>
            <a:solidFill>
              <a:srgbClr val="EB56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calculos'!$B$130:$B$135</c:f>
              <c:strCache>
                <c:ptCount val="6"/>
                <c:pt idx="0">
                  <c:v>&lt;18</c:v>
                </c:pt>
                <c:pt idx="1">
                  <c:v>18-23</c:v>
                </c:pt>
                <c:pt idx="2">
                  <c:v>24-29</c:v>
                </c:pt>
                <c:pt idx="3">
                  <c:v>30-35</c:v>
                </c:pt>
                <c:pt idx="4">
                  <c:v>36-41</c:v>
                </c:pt>
                <c:pt idx="5">
                  <c:v>&gt;41</c:v>
                </c:pt>
              </c:strCache>
            </c:strRef>
          </c:cat>
          <c:val>
            <c:numRef>
              <c:f>'folha de calculos'!$F$130:$F$135</c:f>
              <c:numCache>
                <c:formatCode>0</c:formatCode>
                <c:ptCount val="6"/>
                <c:pt idx="0">
                  <c:v>86.666666666666671</c:v>
                </c:pt>
                <c:pt idx="1">
                  <c:v>82.432432432432435</c:v>
                </c:pt>
                <c:pt idx="2" formatCode="General">
                  <c:v>100</c:v>
                </c:pt>
                <c:pt idx="3" formatCode="General">
                  <c:v>100</c:v>
                </c:pt>
                <c:pt idx="4" formatCode="General">
                  <c:v>100</c:v>
                </c:pt>
                <c:pt idx="5">
                  <c:v>42.857142857142854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910-5049-836E-7E676B8FE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98427638"/>
        <c:axId val="2085765202"/>
        <c:axId val="0"/>
      </c:bar3DChart>
      <c:catAx>
        <c:axId val="13984276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2085765202"/>
        <c:crosses val="autoZero"/>
        <c:auto val="1"/>
        <c:lblAlgn val="ctr"/>
        <c:lblOffset val="100"/>
        <c:noMultiLvlLbl val="1"/>
      </c:catAx>
      <c:valAx>
        <c:axId val="20857652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139842763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pt-PT" b="0">
                <a:solidFill>
                  <a:srgbClr val="838383"/>
                </a:solidFill>
                <a:latin typeface="+mn-lt"/>
              </a:rPr>
              <a:t>Percentagem de faixas etárias por distritos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'folha de calculos'!$C$138:$C$139</c:f>
              <c:strCache>
                <c:ptCount val="2"/>
                <c:pt idx="0">
                  <c:v>Faixas etárias por distritos</c:v>
                </c:pt>
                <c:pt idx="1">
                  <c:v> % &lt;18</c:v>
                </c:pt>
              </c:strCache>
            </c:strRef>
          </c:tx>
          <c:spPr>
            <a:solidFill>
              <a:srgbClr val="1A998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calculos'!$B$140:$B$151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calculos'!$C$140:$C$151</c:f>
              <c:numCache>
                <c:formatCode>General</c:formatCode>
                <c:ptCount val="12"/>
                <c:pt idx="0" formatCode="0.0">
                  <c:v>7.6923076923076925</c:v>
                </c:pt>
                <c:pt idx="1">
                  <c:v>12.5</c:v>
                </c:pt>
                <c:pt idx="2">
                  <c:v>0</c:v>
                </c:pt>
                <c:pt idx="3">
                  <c:v>50</c:v>
                </c:pt>
                <c:pt idx="4" formatCode="0.0">
                  <c:v>22.580645161290324</c:v>
                </c:pt>
                <c:pt idx="5">
                  <c:v>0</c:v>
                </c:pt>
                <c:pt idx="6" formatCode="0.0">
                  <c:v>66.666666666666671</c:v>
                </c:pt>
                <c:pt idx="7" formatCode="0.0">
                  <c:v>33.333333333333336</c:v>
                </c:pt>
                <c:pt idx="8" formatCode="0.0">
                  <c:v>23.80952380952381</c:v>
                </c:pt>
                <c:pt idx="9" formatCode="0.0">
                  <c:v>24.444444444444443</c:v>
                </c:pt>
                <c:pt idx="10">
                  <c:v>40</c:v>
                </c:pt>
                <c:pt idx="11" formatCode="0.0">
                  <c:v>33.333333333333336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AE8-3442-AB47-DDEC572B62B5}"/>
            </c:ext>
          </c:extLst>
        </c:ser>
        <c:ser>
          <c:idx val="1"/>
          <c:order val="1"/>
          <c:tx>
            <c:strRef>
              <c:f>'folha de calculos'!$D$138:$D$139</c:f>
              <c:strCache>
                <c:ptCount val="2"/>
                <c:pt idx="0">
                  <c:v>Faixas etárias por distritos</c:v>
                </c:pt>
                <c:pt idx="1">
                  <c:v>% 18-23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calculos'!$B$140:$B$151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calculos'!$D$140:$D$151</c:f>
              <c:numCache>
                <c:formatCode>General</c:formatCode>
                <c:ptCount val="12"/>
                <c:pt idx="0" formatCode="0.0">
                  <c:v>87.179487179487182</c:v>
                </c:pt>
                <c:pt idx="1">
                  <c:v>62.5</c:v>
                </c:pt>
                <c:pt idx="2">
                  <c:v>100</c:v>
                </c:pt>
                <c:pt idx="3">
                  <c:v>50</c:v>
                </c:pt>
                <c:pt idx="4" formatCode="0.0">
                  <c:v>74.193548387096769</c:v>
                </c:pt>
                <c:pt idx="5">
                  <c:v>33.333333333333336</c:v>
                </c:pt>
                <c:pt idx="6" formatCode="0.0">
                  <c:v>33.333333333333336</c:v>
                </c:pt>
                <c:pt idx="7" formatCode="0.0">
                  <c:v>66.666666666666671</c:v>
                </c:pt>
                <c:pt idx="8" formatCode="0.0">
                  <c:v>57.142857142857146</c:v>
                </c:pt>
                <c:pt idx="9" formatCode="0.0">
                  <c:v>62.222222222222221</c:v>
                </c:pt>
                <c:pt idx="10">
                  <c:v>60</c:v>
                </c:pt>
                <c:pt idx="11" formatCode="0.0">
                  <c:v>66.666666666666671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FAE8-3442-AB47-DDEC572B62B5}"/>
            </c:ext>
          </c:extLst>
        </c:ser>
        <c:ser>
          <c:idx val="2"/>
          <c:order val="2"/>
          <c:tx>
            <c:strRef>
              <c:f>'folha de calculos'!$E$138:$E$139</c:f>
              <c:strCache>
                <c:ptCount val="2"/>
                <c:pt idx="0">
                  <c:v>Faixas etárias por distritos</c:v>
                </c:pt>
                <c:pt idx="1">
                  <c:v> % 24-29</c:v>
                </c:pt>
              </c:strCache>
            </c:strRef>
          </c:tx>
          <c:spPr>
            <a:solidFill>
              <a:srgbClr val="1F3E7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calculos'!$B$140:$B$151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calculos'!$E$140:$E$151</c:f>
              <c:numCache>
                <c:formatCode>General</c:formatCode>
                <c:ptCount val="12"/>
                <c:pt idx="0" formatCode="0.0">
                  <c:v>2.5641025641025643</c:v>
                </c:pt>
                <c:pt idx="1">
                  <c:v>12.5</c:v>
                </c:pt>
                <c:pt idx="2">
                  <c:v>0</c:v>
                </c:pt>
                <c:pt idx="3">
                  <c:v>0</c:v>
                </c:pt>
                <c:pt idx="4" formatCode="0.0">
                  <c:v>1.6129032258064515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">
                  <c:v>9.5238095238095237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FAE8-3442-AB47-DDEC572B62B5}"/>
            </c:ext>
          </c:extLst>
        </c:ser>
        <c:ser>
          <c:idx val="3"/>
          <c:order val="3"/>
          <c:tx>
            <c:strRef>
              <c:f>'folha de calculos'!$F$138:$F$139</c:f>
              <c:strCache>
                <c:ptCount val="2"/>
                <c:pt idx="0">
                  <c:v>Faixas etárias por distritos</c:v>
                </c:pt>
                <c:pt idx="1">
                  <c:v>% 30-35</c:v>
                </c:pt>
              </c:strCache>
            </c:strRef>
          </c:tx>
          <c:spPr>
            <a:solidFill>
              <a:srgbClr val="EB56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calculos'!$B$140:$B$151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calculos'!$F$140:$F$151</c:f>
              <c:numCache>
                <c:formatCode>General</c:formatCode>
                <c:ptCount val="12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">
                  <c:v>2.2222222222222223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FAE8-3442-AB47-DDEC572B62B5}"/>
            </c:ext>
          </c:extLst>
        </c:ser>
        <c:ser>
          <c:idx val="4"/>
          <c:order val="4"/>
          <c:tx>
            <c:strRef>
              <c:f>'folha de calculos'!$G$138:$G$139</c:f>
              <c:strCache>
                <c:ptCount val="2"/>
                <c:pt idx="0">
                  <c:v>Faixas etárias por distritos</c:v>
                </c:pt>
                <c:pt idx="1">
                  <c:v>% 36-41</c:v>
                </c:pt>
              </c:strCache>
            </c:strRef>
          </c:tx>
          <c:spPr>
            <a:solidFill>
              <a:srgbClr val="FF99A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calculos'!$B$140:$B$151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calculos'!$G$140:$G$151</c:f>
              <c:numCache>
                <c:formatCode>General</c:formatCode>
                <c:ptCount val="12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">
                  <c:v>9.5238095238095237</c:v>
                </c:pt>
                <c:pt idx="9" formatCode="0.0">
                  <c:v>6.666666666666667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FAE8-3442-AB47-DDEC572B62B5}"/>
            </c:ext>
          </c:extLst>
        </c:ser>
        <c:ser>
          <c:idx val="5"/>
          <c:order val="5"/>
          <c:tx>
            <c:strRef>
              <c:f>'folha de calculos'!$H$138:$H$139</c:f>
              <c:strCache>
                <c:ptCount val="2"/>
                <c:pt idx="0">
                  <c:v>Faixas etárias por distritos</c:v>
                </c:pt>
                <c:pt idx="1">
                  <c:v>% &gt;41</c:v>
                </c:pt>
              </c:strCache>
            </c:strRef>
          </c:tx>
          <c:spPr>
            <a:solidFill>
              <a:srgbClr val="FFD4B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calculos'!$B$140:$B$151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calculos'!$H$140:$H$151</c:f>
              <c:numCache>
                <c:formatCode>General</c:formatCode>
                <c:ptCount val="12"/>
                <c:pt idx="0" formatCode="0.0">
                  <c:v>2.5641025641025643</c:v>
                </c:pt>
                <c:pt idx="1">
                  <c:v>12.5</c:v>
                </c:pt>
                <c:pt idx="2">
                  <c:v>0</c:v>
                </c:pt>
                <c:pt idx="3">
                  <c:v>0</c:v>
                </c:pt>
                <c:pt idx="4" formatCode="0.0">
                  <c:v>1.6129032258064515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">
                  <c:v>4.4444444444444446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FAE8-3442-AB47-DDEC572B6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5816673"/>
        <c:axId val="1123180647"/>
      </c:barChart>
      <c:catAx>
        <c:axId val="8358166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1123180647"/>
        <c:crosses val="autoZero"/>
        <c:auto val="1"/>
        <c:lblAlgn val="ctr"/>
        <c:lblOffset val="100"/>
        <c:noMultiLvlLbl val="1"/>
      </c:catAx>
      <c:valAx>
        <c:axId val="1123180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835816673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pt-PT" b="0">
                <a:solidFill>
                  <a:srgbClr val="838383"/>
                </a:solidFill>
                <a:latin typeface="+mn-lt"/>
              </a:rPr>
              <a:t>Percentagem de sentimento de segurança por faixas etárias</a:t>
            </a:r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1"/>
        <c:ser>
          <c:idx val="0"/>
          <c:order val="0"/>
          <c:tx>
            <c:strRef>
              <c:f>'folha de calculos'!$D$173:$D$174</c:f>
              <c:strCache>
                <c:ptCount val="2"/>
                <c:pt idx="0">
                  <c:v>Percentagem de sentimento de segurança por faixas etárias</c:v>
                </c:pt>
                <c:pt idx="1">
                  <c:v>% Muito seguro</c:v>
                </c:pt>
              </c:strCache>
            </c:strRef>
          </c:tx>
          <c:spPr>
            <a:solidFill>
              <a:srgbClr val="1A998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calculos'!$C$175:$C$180</c:f>
              <c:strCache>
                <c:ptCount val="6"/>
                <c:pt idx="0">
                  <c:v>&lt;18</c:v>
                </c:pt>
                <c:pt idx="1">
                  <c:v>18-23</c:v>
                </c:pt>
                <c:pt idx="2">
                  <c:v>24-29</c:v>
                </c:pt>
                <c:pt idx="3">
                  <c:v>30-35</c:v>
                </c:pt>
                <c:pt idx="4">
                  <c:v>36-41</c:v>
                </c:pt>
                <c:pt idx="5">
                  <c:v>&gt;41</c:v>
                </c:pt>
              </c:strCache>
            </c:strRef>
          </c:cat>
          <c:val>
            <c:numRef>
              <c:f>'folha de calculos'!$D$175:$D$180</c:f>
              <c:numCache>
                <c:formatCode>0.0</c:formatCode>
                <c:ptCount val="6"/>
                <c:pt idx="0">
                  <c:v>4.4444444444444446</c:v>
                </c:pt>
                <c:pt idx="1">
                  <c:v>6.0810810810810807</c:v>
                </c:pt>
                <c:pt idx="2" formatCode="General">
                  <c:v>0</c:v>
                </c:pt>
                <c:pt idx="3" formatCode="General">
                  <c:v>100</c:v>
                </c:pt>
                <c:pt idx="4" formatCode="General">
                  <c:v>0</c:v>
                </c:pt>
                <c:pt idx="5">
                  <c:v>14.285714285714286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5DF-364C-88C5-E4C997120E15}"/>
            </c:ext>
          </c:extLst>
        </c:ser>
        <c:ser>
          <c:idx val="1"/>
          <c:order val="1"/>
          <c:tx>
            <c:strRef>
              <c:f>'folha de calculos'!$E$173:$E$174</c:f>
              <c:strCache>
                <c:ptCount val="2"/>
                <c:pt idx="0">
                  <c:v>Percentagem de sentimento de segurança por faixas etárias</c:v>
                </c:pt>
                <c:pt idx="1">
                  <c:v>% Pouco Seguro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calculos'!$C$175:$C$180</c:f>
              <c:strCache>
                <c:ptCount val="6"/>
                <c:pt idx="0">
                  <c:v>&lt;18</c:v>
                </c:pt>
                <c:pt idx="1">
                  <c:v>18-23</c:v>
                </c:pt>
                <c:pt idx="2">
                  <c:v>24-29</c:v>
                </c:pt>
                <c:pt idx="3">
                  <c:v>30-35</c:v>
                </c:pt>
                <c:pt idx="4">
                  <c:v>36-41</c:v>
                </c:pt>
                <c:pt idx="5">
                  <c:v>&gt;41</c:v>
                </c:pt>
              </c:strCache>
            </c:strRef>
          </c:cat>
          <c:val>
            <c:numRef>
              <c:f>'folha de calculos'!$E$175:$E$180</c:f>
              <c:numCache>
                <c:formatCode>0.0</c:formatCode>
                <c:ptCount val="6"/>
                <c:pt idx="0">
                  <c:v>15.555555555555555</c:v>
                </c:pt>
                <c:pt idx="1">
                  <c:v>23.648648648648649</c:v>
                </c:pt>
                <c:pt idx="2" formatCode="General">
                  <c:v>20</c:v>
                </c:pt>
                <c:pt idx="3" formatCode="General">
                  <c:v>0</c:v>
                </c:pt>
                <c:pt idx="4">
                  <c:v>16.666666666666668</c:v>
                </c:pt>
                <c:pt idx="5">
                  <c:v>28.571428571428573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5DF-364C-88C5-E4C997120E15}"/>
            </c:ext>
          </c:extLst>
        </c:ser>
        <c:ser>
          <c:idx val="2"/>
          <c:order val="2"/>
          <c:tx>
            <c:strRef>
              <c:f>'folha de calculos'!$F$173:$F$174</c:f>
              <c:strCache>
                <c:ptCount val="2"/>
                <c:pt idx="0">
                  <c:v>Percentagem de sentimento de segurança por faixas etárias</c:v>
                </c:pt>
                <c:pt idx="1">
                  <c:v>% Seguro</c:v>
                </c:pt>
              </c:strCache>
            </c:strRef>
          </c:tx>
          <c:spPr>
            <a:solidFill>
              <a:srgbClr val="1F3E7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calculos'!$C$175:$C$180</c:f>
              <c:strCache>
                <c:ptCount val="6"/>
                <c:pt idx="0">
                  <c:v>&lt;18</c:v>
                </c:pt>
                <c:pt idx="1">
                  <c:v>18-23</c:v>
                </c:pt>
                <c:pt idx="2">
                  <c:v>24-29</c:v>
                </c:pt>
                <c:pt idx="3">
                  <c:v>30-35</c:v>
                </c:pt>
                <c:pt idx="4">
                  <c:v>36-41</c:v>
                </c:pt>
                <c:pt idx="5">
                  <c:v>&gt;41</c:v>
                </c:pt>
              </c:strCache>
            </c:strRef>
          </c:cat>
          <c:val>
            <c:numRef>
              <c:f>'folha de calculos'!$F$175:$F$180</c:f>
              <c:numCache>
                <c:formatCode>0.0</c:formatCode>
                <c:ptCount val="6"/>
                <c:pt idx="0" formatCode="General">
                  <c:v>80</c:v>
                </c:pt>
                <c:pt idx="1">
                  <c:v>70.270270270270274</c:v>
                </c:pt>
                <c:pt idx="2" formatCode="General">
                  <c:v>80</c:v>
                </c:pt>
                <c:pt idx="3" formatCode="General">
                  <c:v>0</c:v>
                </c:pt>
                <c:pt idx="4">
                  <c:v>83.333333333333329</c:v>
                </c:pt>
                <c:pt idx="5">
                  <c:v>57.142857142857146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5DF-364C-88C5-E4C997120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12413093"/>
        <c:axId val="665516788"/>
        <c:axId val="0"/>
      </c:bar3DChart>
      <c:catAx>
        <c:axId val="131241309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665516788"/>
        <c:crosses val="autoZero"/>
        <c:auto val="1"/>
        <c:lblAlgn val="ctr"/>
        <c:lblOffset val="100"/>
        <c:noMultiLvlLbl val="1"/>
      </c:catAx>
      <c:valAx>
        <c:axId val="6655167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1312413093"/>
        <c:crosses val="max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pt-PT" b="0">
                <a:solidFill>
                  <a:srgbClr val="838383"/>
                </a:solidFill>
                <a:latin typeface="+mn-lt"/>
              </a:rPr>
              <a:t>Percentagem de sentimento de segurança noturno pós covid por faixas etárias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'folha de calculos'!$I$173:$I$174</c:f>
              <c:strCache>
                <c:ptCount val="2"/>
                <c:pt idx="0">
                  <c:v>Percentagem de sentimento de segurança por faixas etárias pós covid</c:v>
                </c:pt>
                <c:pt idx="1">
                  <c:v> % Igualmente seguro</c:v>
                </c:pt>
              </c:strCache>
            </c:strRef>
          </c:tx>
          <c:spPr>
            <a:solidFill>
              <a:srgbClr val="1A998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calculos'!$H$175:$H$180</c:f>
              <c:strCache>
                <c:ptCount val="6"/>
                <c:pt idx="0">
                  <c:v>&lt;18</c:v>
                </c:pt>
                <c:pt idx="1">
                  <c:v>18-23</c:v>
                </c:pt>
                <c:pt idx="2">
                  <c:v>24-29</c:v>
                </c:pt>
                <c:pt idx="3">
                  <c:v>30-35</c:v>
                </c:pt>
                <c:pt idx="4">
                  <c:v>36-41</c:v>
                </c:pt>
                <c:pt idx="5">
                  <c:v>&gt;41</c:v>
                </c:pt>
              </c:strCache>
            </c:strRef>
          </c:cat>
          <c:val>
            <c:numRef>
              <c:f>'folha de calculos'!$I$175:$I$180</c:f>
              <c:numCache>
                <c:formatCode>0.0</c:formatCode>
                <c:ptCount val="6"/>
                <c:pt idx="0">
                  <c:v>57.777777777777779</c:v>
                </c:pt>
                <c:pt idx="1">
                  <c:v>65.540540540540547</c:v>
                </c:pt>
                <c:pt idx="2" formatCode="General">
                  <c:v>20</c:v>
                </c:pt>
                <c:pt idx="3" formatCode="General">
                  <c:v>100</c:v>
                </c:pt>
                <c:pt idx="4" formatCode="General">
                  <c:v>50</c:v>
                </c:pt>
                <c:pt idx="5">
                  <c:v>71.428571428571431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D54-8741-9158-7CCDD1FC3FE3}"/>
            </c:ext>
          </c:extLst>
        </c:ser>
        <c:ser>
          <c:idx val="1"/>
          <c:order val="1"/>
          <c:tx>
            <c:strRef>
              <c:f>'folha de calculos'!$J$173:$J$174</c:f>
              <c:strCache>
                <c:ptCount val="2"/>
                <c:pt idx="0">
                  <c:v>Percentagem de sentimento de segurança por faixas etárias pós covid</c:v>
                </c:pt>
                <c:pt idx="1">
                  <c:v>% Mais seguro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calculos'!$H$175:$H$180</c:f>
              <c:strCache>
                <c:ptCount val="6"/>
                <c:pt idx="0">
                  <c:v>&lt;18</c:v>
                </c:pt>
                <c:pt idx="1">
                  <c:v>18-23</c:v>
                </c:pt>
                <c:pt idx="2">
                  <c:v>24-29</c:v>
                </c:pt>
                <c:pt idx="3">
                  <c:v>30-35</c:v>
                </c:pt>
                <c:pt idx="4">
                  <c:v>36-41</c:v>
                </c:pt>
                <c:pt idx="5">
                  <c:v>&gt;41</c:v>
                </c:pt>
              </c:strCache>
            </c:strRef>
          </c:cat>
          <c:val>
            <c:numRef>
              <c:f>'folha de calculos'!$J$175:$J$180</c:f>
              <c:numCache>
                <c:formatCode>0.0</c:formatCode>
                <c:ptCount val="6"/>
                <c:pt idx="0">
                  <c:v>6.666666666666667</c:v>
                </c:pt>
                <c:pt idx="1">
                  <c:v>8.1081081081081088</c:v>
                </c:pt>
                <c:pt idx="2" formatCode="General">
                  <c:v>40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D54-8741-9158-7CCDD1FC3FE3}"/>
            </c:ext>
          </c:extLst>
        </c:ser>
        <c:ser>
          <c:idx val="2"/>
          <c:order val="2"/>
          <c:tx>
            <c:strRef>
              <c:f>'folha de calculos'!$K$173:$K$174</c:f>
              <c:strCache>
                <c:ptCount val="2"/>
                <c:pt idx="0">
                  <c:v>Percentagem de sentimento de segurança por faixas etárias pós covid</c:v>
                </c:pt>
                <c:pt idx="1">
                  <c:v>% Menos seguro</c:v>
                </c:pt>
              </c:strCache>
            </c:strRef>
          </c:tx>
          <c:spPr>
            <a:solidFill>
              <a:srgbClr val="1F3E7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calculos'!$H$175:$H$180</c:f>
              <c:strCache>
                <c:ptCount val="6"/>
                <c:pt idx="0">
                  <c:v>&lt;18</c:v>
                </c:pt>
                <c:pt idx="1">
                  <c:v>18-23</c:v>
                </c:pt>
                <c:pt idx="2">
                  <c:v>24-29</c:v>
                </c:pt>
                <c:pt idx="3">
                  <c:v>30-35</c:v>
                </c:pt>
                <c:pt idx="4">
                  <c:v>36-41</c:v>
                </c:pt>
                <c:pt idx="5">
                  <c:v>&gt;41</c:v>
                </c:pt>
              </c:strCache>
            </c:strRef>
          </c:cat>
          <c:val>
            <c:numRef>
              <c:f>'folha de calculos'!$K$175:$K$180</c:f>
              <c:numCache>
                <c:formatCode>0.0</c:formatCode>
                <c:ptCount val="6"/>
                <c:pt idx="0">
                  <c:v>35.555555555555557</c:v>
                </c:pt>
                <c:pt idx="1">
                  <c:v>26.351351351351351</c:v>
                </c:pt>
                <c:pt idx="2" formatCode="General">
                  <c:v>40</c:v>
                </c:pt>
                <c:pt idx="3" formatCode="General">
                  <c:v>0</c:v>
                </c:pt>
                <c:pt idx="4" formatCode="General">
                  <c:v>50</c:v>
                </c:pt>
                <c:pt idx="5" formatCode="0">
                  <c:v>28.571428571428573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D54-8741-9158-7CCDD1FC3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4871346"/>
        <c:axId val="1307352583"/>
      </c:barChart>
      <c:catAx>
        <c:axId val="13748713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1A1A1A"/>
                    </a:solidFill>
                    <a:latin typeface="+mn-lt"/>
                  </a:rPr>
                  <a:t>Faixa/ sentimento de segurança pós covid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1307352583"/>
        <c:crosses val="autoZero"/>
        <c:auto val="1"/>
        <c:lblAlgn val="ctr"/>
        <c:lblOffset val="100"/>
        <c:noMultiLvlLbl val="1"/>
      </c:catAx>
      <c:valAx>
        <c:axId val="1307352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137487134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pt-PT" b="0">
                <a:solidFill>
                  <a:srgbClr val="838383"/>
                </a:solidFill>
                <a:latin typeface="+mn-lt"/>
              </a:rPr>
              <a:t>Percentagem de saídas à noite por distrito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'folha de calculos'!$N$173:$N$174</c:f>
              <c:strCache>
                <c:ptCount val="2"/>
                <c:pt idx="0">
                  <c:v>Percentagem de saídas à noite por distrito</c:v>
                </c:pt>
                <c:pt idx="1">
                  <c:v>% Sim</c:v>
                </c:pt>
              </c:strCache>
            </c:strRef>
          </c:tx>
          <c:spPr>
            <a:solidFill>
              <a:srgbClr val="1A998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calculos'!$M$175:$M$186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calculos'!$N$175:$N$186</c:f>
              <c:numCache>
                <c:formatCode>General</c:formatCode>
                <c:ptCount val="12"/>
                <c:pt idx="0" formatCode="0">
                  <c:v>10.256410256410257</c:v>
                </c:pt>
                <c:pt idx="1">
                  <c:v>12.5</c:v>
                </c:pt>
                <c:pt idx="2">
                  <c:v>0</c:v>
                </c:pt>
                <c:pt idx="3">
                  <c:v>0</c:v>
                </c:pt>
                <c:pt idx="4" formatCode="0.0">
                  <c:v>4.838709677419355</c:v>
                </c:pt>
                <c:pt idx="5">
                  <c:v>0</c:v>
                </c:pt>
                <c:pt idx="6" formatCode="0.0">
                  <c:v>33.333333333333336</c:v>
                </c:pt>
                <c:pt idx="7">
                  <c:v>0</c:v>
                </c:pt>
                <c:pt idx="8" formatCode="0.0">
                  <c:v>14.285714285714286</c:v>
                </c:pt>
                <c:pt idx="9" formatCode="0.0">
                  <c:v>8.8888888888888893</c:v>
                </c:pt>
                <c:pt idx="10" formatCode="0">
                  <c:v>40</c:v>
                </c:pt>
                <c:pt idx="11" formatCode="0.0">
                  <c:v>33.333333333333336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4108-C945-888F-8A99EB63DAC6}"/>
            </c:ext>
          </c:extLst>
        </c:ser>
        <c:ser>
          <c:idx val="1"/>
          <c:order val="1"/>
          <c:tx>
            <c:strRef>
              <c:f>'folha de calculos'!$O$173:$O$174</c:f>
              <c:strCache>
                <c:ptCount val="2"/>
                <c:pt idx="0">
                  <c:v>Percentagem de saídas à noite por distrito</c:v>
                </c:pt>
                <c:pt idx="1">
                  <c:v> % Não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calculos'!$M$175:$M$186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calculos'!$O$175:$O$186</c:f>
              <c:numCache>
                <c:formatCode>General</c:formatCode>
                <c:ptCount val="12"/>
                <c:pt idx="0" formatCode="0.0">
                  <c:v>89.743589743589737</c:v>
                </c:pt>
                <c:pt idx="1">
                  <c:v>87.5</c:v>
                </c:pt>
                <c:pt idx="2">
                  <c:v>100</c:v>
                </c:pt>
                <c:pt idx="3">
                  <c:v>100</c:v>
                </c:pt>
                <c:pt idx="4" formatCode="0.0">
                  <c:v>95.161290322580641</c:v>
                </c:pt>
                <c:pt idx="5">
                  <c:v>100</c:v>
                </c:pt>
                <c:pt idx="6" formatCode="0.0">
                  <c:v>66.666666666666671</c:v>
                </c:pt>
                <c:pt idx="7">
                  <c:v>100</c:v>
                </c:pt>
                <c:pt idx="8" formatCode="0.0">
                  <c:v>85.714285714285708</c:v>
                </c:pt>
                <c:pt idx="9" formatCode="0.0">
                  <c:v>91.111111111111114</c:v>
                </c:pt>
                <c:pt idx="10" formatCode="0">
                  <c:v>60</c:v>
                </c:pt>
                <c:pt idx="11" formatCode="0.0">
                  <c:v>66.666666666666671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4108-C945-888F-8A99EB63D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1820404"/>
        <c:axId val="491560428"/>
      </c:barChart>
      <c:catAx>
        <c:axId val="818204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1A1A1A"/>
                    </a:solidFill>
                    <a:latin typeface="+mn-lt"/>
                  </a:rPr>
                  <a:t>Distrito/ saidas à noite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491560428"/>
        <c:crosses val="autoZero"/>
        <c:auto val="1"/>
        <c:lblAlgn val="ctr"/>
        <c:lblOffset val="100"/>
        <c:noMultiLvlLbl val="1"/>
      </c:catAx>
      <c:valAx>
        <c:axId val="4915604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818204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pt-PT" b="0">
                <a:solidFill>
                  <a:srgbClr val="838383"/>
                </a:solidFill>
                <a:latin typeface="+mn-lt"/>
              </a:rPr>
              <a:t>Obtenção de objetos de defesa por géneros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'folha de calculos'!$R$173:$R$174</c:f>
              <c:strCache>
                <c:ptCount val="2"/>
                <c:pt idx="0">
                  <c:v>Percentagem de obtenção de objetos de defesa por géneros</c:v>
                </c:pt>
                <c:pt idx="1">
                  <c:v>% não</c:v>
                </c:pt>
              </c:strCache>
            </c:strRef>
          </c:tx>
          <c:spPr>
            <a:solidFill>
              <a:srgbClr val="1A998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calculos'!$Q$175:$Q$177</c:f>
              <c:strCache>
                <c:ptCount val="3"/>
                <c:pt idx="0">
                  <c:v>Feminino</c:v>
                </c:pt>
                <c:pt idx="1">
                  <c:v>Masculino</c:v>
                </c:pt>
                <c:pt idx="2">
                  <c:v>Outro</c:v>
                </c:pt>
              </c:strCache>
            </c:strRef>
          </c:cat>
          <c:val>
            <c:numRef>
              <c:f>'folha de calculos'!$R$175:$R$177</c:f>
              <c:numCache>
                <c:formatCode>#,##0</c:formatCode>
                <c:ptCount val="3"/>
                <c:pt idx="0">
                  <c:v>16.083916083916083</c:v>
                </c:pt>
                <c:pt idx="1">
                  <c:v>38.805970149253731</c:v>
                </c:pt>
                <c:pt idx="2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EC18-DF45-9A1E-6EA73065FC62}"/>
            </c:ext>
          </c:extLst>
        </c:ser>
        <c:ser>
          <c:idx val="1"/>
          <c:order val="1"/>
          <c:tx>
            <c:strRef>
              <c:f>'folha de calculos'!$S$173:$S$174</c:f>
              <c:strCache>
                <c:ptCount val="2"/>
                <c:pt idx="0">
                  <c:v>Percentagem de obtenção de objetos de defesa por géneros</c:v>
                </c:pt>
                <c:pt idx="1">
                  <c:v>% nunca pensei sobre isso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calculos'!$Q$175:$Q$177</c:f>
              <c:strCache>
                <c:ptCount val="3"/>
                <c:pt idx="0">
                  <c:v>Feminino</c:v>
                </c:pt>
                <c:pt idx="1">
                  <c:v>Masculino</c:v>
                </c:pt>
                <c:pt idx="2">
                  <c:v>Outro</c:v>
                </c:pt>
              </c:strCache>
            </c:strRef>
          </c:cat>
          <c:val>
            <c:numRef>
              <c:f>'folha de calculos'!$S$175:$S$177</c:f>
              <c:numCache>
                <c:formatCode>0.0</c:formatCode>
                <c:ptCount val="3"/>
                <c:pt idx="0" formatCode="#,##0">
                  <c:v>41.25874125874126</c:v>
                </c:pt>
                <c:pt idx="1">
                  <c:v>29.850746268656717</c:v>
                </c:pt>
                <c:pt idx="2" formatCode="General">
                  <c:v>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EC18-DF45-9A1E-6EA73065FC62}"/>
            </c:ext>
          </c:extLst>
        </c:ser>
        <c:ser>
          <c:idx val="2"/>
          <c:order val="2"/>
          <c:tx>
            <c:strRef>
              <c:f>'folha de calculos'!$T$173:$T$174</c:f>
              <c:strCache>
                <c:ptCount val="2"/>
                <c:pt idx="0">
                  <c:v>Percentagem de obtenção de objetos de defesa por géneros</c:v>
                </c:pt>
                <c:pt idx="1">
                  <c:v>% sim</c:v>
                </c:pt>
              </c:strCache>
            </c:strRef>
          </c:tx>
          <c:spPr>
            <a:solidFill>
              <a:srgbClr val="1F3E7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calculos'!$Q$175:$Q$177</c:f>
              <c:strCache>
                <c:ptCount val="3"/>
                <c:pt idx="0">
                  <c:v>Feminino</c:v>
                </c:pt>
                <c:pt idx="1">
                  <c:v>Masculino</c:v>
                </c:pt>
                <c:pt idx="2">
                  <c:v>Outro</c:v>
                </c:pt>
              </c:strCache>
            </c:strRef>
          </c:cat>
          <c:val>
            <c:numRef>
              <c:f>'folha de calculos'!$T$175:$T$177</c:f>
              <c:numCache>
                <c:formatCode>0.0</c:formatCode>
                <c:ptCount val="3"/>
                <c:pt idx="0" formatCode="#,##0">
                  <c:v>42.65734265734266</c:v>
                </c:pt>
                <c:pt idx="1">
                  <c:v>31.343283582089551</c:v>
                </c:pt>
                <c:pt idx="2" formatCode="General">
                  <c:v>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EC18-DF45-9A1E-6EA73065F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4130187"/>
        <c:axId val="552113958"/>
      </c:barChart>
      <c:catAx>
        <c:axId val="14641301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552113958"/>
        <c:crosses val="autoZero"/>
        <c:auto val="1"/>
        <c:lblAlgn val="ctr"/>
        <c:lblOffset val="100"/>
        <c:noMultiLvlLbl val="1"/>
      </c:catAx>
      <c:valAx>
        <c:axId val="5521139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1464130187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pt-PT" b="0">
                <a:solidFill>
                  <a:srgbClr val="838383"/>
                </a:solidFill>
                <a:latin typeface="+mn-lt"/>
              </a:rPr>
              <a:t>Casos de assédio por géneros</a:t>
            </a:r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'folha de calculos'!$C$195:$C$196</c:f>
              <c:strCache>
                <c:ptCount val="2"/>
                <c:pt idx="0">
                  <c:v>Percentagem de casos de assédio por géneros</c:v>
                </c:pt>
                <c:pt idx="1">
                  <c:v>% Não</c:v>
                </c:pt>
              </c:strCache>
            </c:strRef>
          </c:tx>
          <c:spPr>
            <a:solidFill>
              <a:srgbClr val="85200C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0-60DB-EA4E-B4C3-A76219DAA0B1}"/>
              </c:ext>
            </c:extLst>
          </c:dPt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60DB-EA4E-B4C3-A76219DAA0B1}"/>
              </c:ext>
            </c:extLst>
          </c:dPt>
          <c:cat>
            <c:strRef>
              <c:f>'folha de calculos'!$B$197:$B$199</c:f>
              <c:strCache>
                <c:ptCount val="3"/>
                <c:pt idx="0">
                  <c:v>Feminino</c:v>
                </c:pt>
                <c:pt idx="1">
                  <c:v>Masculino</c:v>
                </c:pt>
                <c:pt idx="2">
                  <c:v>Outro</c:v>
                </c:pt>
              </c:strCache>
            </c:strRef>
          </c:cat>
          <c:val>
            <c:numRef>
              <c:f>'folha de calculos'!$C$197:$C$199</c:f>
              <c:numCache>
                <c:formatCode>0</c:formatCode>
                <c:ptCount val="3"/>
                <c:pt idx="0" formatCode="0.0">
                  <c:v>29.37062937062937</c:v>
                </c:pt>
                <c:pt idx="1">
                  <c:v>94.02985074626865</c:v>
                </c:pt>
                <c:pt idx="2" formatCode="General">
                  <c:v>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60DB-EA4E-B4C3-A76219DAA0B1}"/>
            </c:ext>
          </c:extLst>
        </c:ser>
        <c:ser>
          <c:idx val="1"/>
          <c:order val="1"/>
          <c:tx>
            <c:strRef>
              <c:f>'folha de calculos'!$D$195:$D$196</c:f>
              <c:strCache>
                <c:ptCount val="2"/>
                <c:pt idx="0">
                  <c:v>Percentagem de casos de assédio por géneros</c:v>
                </c:pt>
                <c:pt idx="1">
                  <c:v>% Sim</c:v>
                </c:pt>
              </c:strCache>
            </c:strRef>
          </c:tx>
          <c:spPr>
            <a:solidFill>
              <a:srgbClr val="E06666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2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3-60DB-EA4E-B4C3-A76219DAA0B1}"/>
              </c:ext>
            </c:extLst>
          </c:dPt>
          <c:cat>
            <c:strRef>
              <c:f>'folha de calculos'!$B$197:$B$199</c:f>
              <c:strCache>
                <c:ptCount val="3"/>
                <c:pt idx="0">
                  <c:v>Feminino</c:v>
                </c:pt>
                <c:pt idx="1">
                  <c:v>Masculino</c:v>
                </c:pt>
                <c:pt idx="2">
                  <c:v>Outro</c:v>
                </c:pt>
              </c:strCache>
            </c:strRef>
          </c:cat>
          <c:val>
            <c:numRef>
              <c:f>'folha de calculos'!$D$197:$D$199</c:f>
              <c:numCache>
                <c:formatCode>0</c:formatCode>
                <c:ptCount val="3"/>
                <c:pt idx="0" formatCode="0.0">
                  <c:v>70.629370629370626</c:v>
                </c:pt>
                <c:pt idx="1">
                  <c:v>5.9701492537313436</c:v>
                </c:pt>
                <c:pt idx="2" formatCode="General">
                  <c:v>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60DB-EA4E-B4C3-A76219DAA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06170415"/>
        <c:axId val="793325838"/>
        <c:axId val="0"/>
      </c:bar3DChart>
      <c:catAx>
        <c:axId val="506170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793325838"/>
        <c:crosses val="autoZero"/>
        <c:auto val="1"/>
        <c:lblAlgn val="ctr"/>
        <c:lblOffset val="100"/>
        <c:noMultiLvlLbl val="1"/>
      </c:catAx>
      <c:valAx>
        <c:axId val="7933258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506170415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pt-PT" b="0">
                <a:solidFill>
                  <a:srgbClr val="838383"/>
                </a:solidFill>
                <a:latin typeface="+mn-lt"/>
              </a:rPr>
              <a:t>Faixas etárias que mais saem e que menos saem</a:t>
            </a:r>
          </a:p>
        </c:rich>
      </c:tx>
      <c:layout>
        <c:manualLayout>
          <c:xMode val="edge"/>
          <c:yMode val="edge"/>
          <c:x val="2.9704670329670311E-2"/>
          <c:y val="5.0052966101694921E-2"/>
        </c:manualLayout>
      </c:layout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'folha de calculos'!$C$128:$C$129</c:f>
              <c:strCache>
                <c:ptCount val="2"/>
                <c:pt idx="0">
                  <c:v>Saídas à noite por faixas etárias</c:v>
                </c:pt>
                <c:pt idx="1">
                  <c:v>não</c:v>
                </c:pt>
              </c:strCache>
            </c:strRef>
          </c:tx>
          <c:spPr>
            <a:solidFill>
              <a:srgbClr val="EA999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calculos'!$B$130:$B$135</c:f>
              <c:strCache>
                <c:ptCount val="6"/>
                <c:pt idx="0">
                  <c:v>&lt;18</c:v>
                </c:pt>
                <c:pt idx="1">
                  <c:v>18-23</c:v>
                </c:pt>
                <c:pt idx="2">
                  <c:v>24-29</c:v>
                </c:pt>
                <c:pt idx="3">
                  <c:v>30-35</c:v>
                </c:pt>
                <c:pt idx="4">
                  <c:v>36-41</c:v>
                </c:pt>
                <c:pt idx="5">
                  <c:v>&gt;41</c:v>
                </c:pt>
              </c:strCache>
            </c:strRef>
          </c:cat>
          <c:val>
            <c:numRef>
              <c:f>'folha de calculos'!$C$130:$C$135</c:f>
              <c:numCache>
                <c:formatCode>General</c:formatCode>
                <c:ptCount val="6"/>
                <c:pt idx="0">
                  <c:v>6</c:v>
                </c:pt>
                <c:pt idx="1">
                  <c:v>26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488-5041-A3EA-C4674F2717BA}"/>
            </c:ext>
          </c:extLst>
        </c:ser>
        <c:ser>
          <c:idx val="1"/>
          <c:order val="1"/>
          <c:tx>
            <c:strRef>
              <c:f>'folha de calculos'!$D$128:$D$129</c:f>
              <c:strCache>
                <c:ptCount val="2"/>
                <c:pt idx="0">
                  <c:v>Saídas à noite por faixas etárias</c:v>
                </c:pt>
                <c:pt idx="1">
                  <c:v>% de não</c:v>
                </c:pt>
              </c:strCache>
            </c:strRef>
          </c:tx>
          <c:spPr>
            <a:solidFill>
              <a:srgbClr val="B4A7D6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1-8488-5041-A3EA-C4674F2717BA}"/>
              </c:ext>
            </c:extLst>
          </c:dPt>
          <c:dPt>
            <c:idx val="5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2-8488-5041-A3EA-C4674F2717BA}"/>
              </c:ext>
            </c:extLst>
          </c:dPt>
          <c:cat>
            <c:strRef>
              <c:f>'folha de calculos'!$B$130:$B$135</c:f>
              <c:strCache>
                <c:ptCount val="6"/>
                <c:pt idx="0">
                  <c:v>&lt;18</c:v>
                </c:pt>
                <c:pt idx="1">
                  <c:v>18-23</c:v>
                </c:pt>
                <c:pt idx="2">
                  <c:v>24-29</c:v>
                </c:pt>
                <c:pt idx="3">
                  <c:v>30-35</c:v>
                </c:pt>
                <c:pt idx="4">
                  <c:v>36-41</c:v>
                </c:pt>
                <c:pt idx="5">
                  <c:v>&gt;41</c:v>
                </c:pt>
              </c:strCache>
            </c:strRef>
          </c:cat>
          <c:val>
            <c:numRef>
              <c:f>'folha de calculos'!$D$130:$D$135</c:f>
              <c:numCache>
                <c:formatCode>0</c:formatCode>
                <c:ptCount val="6"/>
                <c:pt idx="0">
                  <c:v>13.333333333333334</c:v>
                </c:pt>
                <c:pt idx="1">
                  <c:v>17.567567567567568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  <c:pt idx="5">
                  <c:v>57.142857142857146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488-5041-A3EA-C4674F2717BA}"/>
            </c:ext>
          </c:extLst>
        </c:ser>
        <c:ser>
          <c:idx val="2"/>
          <c:order val="2"/>
          <c:tx>
            <c:strRef>
              <c:f>'folha de calculos'!$E$128:$E$129</c:f>
              <c:strCache>
                <c:ptCount val="2"/>
                <c:pt idx="0">
                  <c:v>Saídas à noite por faixas etárias</c:v>
                </c:pt>
                <c:pt idx="1">
                  <c:v>sim</c:v>
                </c:pt>
              </c:strCache>
            </c:strRef>
          </c:tx>
          <c:spPr>
            <a:solidFill>
              <a:srgbClr val="93C47D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4-8488-5041-A3EA-C4674F2717BA}"/>
              </c:ext>
            </c:extLst>
          </c:dPt>
          <c:cat>
            <c:strRef>
              <c:f>'folha de calculos'!$B$130:$B$135</c:f>
              <c:strCache>
                <c:ptCount val="6"/>
                <c:pt idx="0">
                  <c:v>&lt;18</c:v>
                </c:pt>
                <c:pt idx="1">
                  <c:v>18-23</c:v>
                </c:pt>
                <c:pt idx="2">
                  <c:v>24-29</c:v>
                </c:pt>
                <c:pt idx="3">
                  <c:v>30-35</c:v>
                </c:pt>
                <c:pt idx="4">
                  <c:v>36-41</c:v>
                </c:pt>
                <c:pt idx="5">
                  <c:v>&gt;41</c:v>
                </c:pt>
              </c:strCache>
            </c:strRef>
          </c:cat>
          <c:val>
            <c:numRef>
              <c:f>'folha de calculos'!$E$130:$E$135</c:f>
              <c:numCache>
                <c:formatCode>General</c:formatCode>
                <c:ptCount val="6"/>
                <c:pt idx="0">
                  <c:v>39</c:v>
                </c:pt>
                <c:pt idx="1">
                  <c:v>122</c:v>
                </c:pt>
                <c:pt idx="2">
                  <c:v>5</c:v>
                </c:pt>
                <c:pt idx="3">
                  <c:v>1</c:v>
                </c:pt>
                <c:pt idx="4">
                  <c:v>6</c:v>
                </c:pt>
                <c:pt idx="5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8488-5041-A3EA-C4674F2717BA}"/>
            </c:ext>
          </c:extLst>
        </c:ser>
        <c:ser>
          <c:idx val="3"/>
          <c:order val="3"/>
          <c:tx>
            <c:strRef>
              <c:f>'folha de calculos'!$F$128:$F$129</c:f>
              <c:strCache>
                <c:ptCount val="2"/>
                <c:pt idx="0">
                  <c:v>Saídas à noite por faixas etárias</c:v>
                </c:pt>
                <c:pt idx="1">
                  <c:v>% de sim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dPt>
            <c:idx val="1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6-8488-5041-A3EA-C4674F2717BA}"/>
              </c:ext>
            </c:extLst>
          </c:dPt>
          <c:dPt>
            <c:idx val="4"/>
            <c:invertIfNegative val="1"/>
            <c:bubble3D val="0"/>
            <c:extLst>
              <c:ext xmlns:c16="http://schemas.microsoft.com/office/drawing/2014/chart" uri="{C3380CC4-5D6E-409C-BE32-E72D297353CC}">
                <c16:uniqueId val="{00000007-8488-5041-A3EA-C4674F2717BA}"/>
              </c:ext>
            </c:extLst>
          </c:dPt>
          <c:cat>
            <c:strRef>
              <c:f>'folha de calculos'!$B$130:$B$135</c:f>
              <c:strCache>
                <c:ptCount val="6"/>
                <c:pt idx="0">
                  <c:v>&lt;18</c:v>
                </c:pt>
                <c:pt idx="1">
                  <c:v>18-23</c:v>
                </c:pt>
                <c:pt idx="2">
                  <c:v>24-29</c:v>
                </c:pt>
                <c:pt idx="3">
                  <c:v>30-35</c:v>
                </c:pt>
                <c:pt idx="4">
                  <c:v>36-41</c:v>
                </c:pt>
                <c:pt idx="5">
                  <c:v>&gt;41</c:v>
                </c:pt>
              </c:strCache>
            </c:strRef>
          </c:cat>
          <c:val>
            <c:numRef>
              <c:f>'folha de calculos'!$F$130:$F$135</c:f>
              <c:numCache>
                <c:formatCode>0</c:formatCode>
                <c:ptCount val="6"/>
                <c:pt idx="0">
                  <c:v>86.666666666666671</c:v>
                </c:pt>
                <c:pt idx="1">
                  <c:v>82.432432432432435</c:v>
                </c:pt>
                <c:pt idx="2" formatCode="General">
                  <c:v>100</c:v>
                </c:pt>
                <c:pt idx="3" formatCode="General">
                  <c:v>100</c:v>
                </c:pt>
                <c:pt idx="4" formatCode="General">
                  <c:v>100</c:v>
                </c:pt>
                <c:pt idx="5">
                  <c:v>42.857142857142854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8-8488-5041-A3EA-C4674F271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2376021"/>
        <c:axId val="1993039520"/>
        <c:axId val="0"/>
      </c:bar3DChart>
      <c:catAx>
        <c:axId val="7923760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1993039520"/>
        <c:crosses val="autoZero"/>
        <c:auto val="1"/>
        <c:lblAlgn val="ctr"/>
        <c:lblOffset val="100"/>
        <c:noMultiLvlLbl val="1"/>
      </c:catAx>
      <c:valAx>
        <c:axId val="199303952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79237602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spPr>
    <a:solidFill>
      <a:schemeClr val="lt1"/>
    </a:solidFill>
  </c:sp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pt-PT" b="0">
                <a:solidFill>
                  <a:srgbClr val="838383"/>
                </a:solidFill>
                <a:latin typeface="+mn-lt"/>
              </a:rPr>
              <a:t>Percentagem de sentimento de segurança pós covid por distrito</a:t>
            </a:r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'folha de calculos'!$L$195:$L$196</c:f>
              <c:strCache>
                <c:ptCount val="2"/>
                <c:pt idx="0">
                  <c:v>Percentagem de sentimento de segurança pós covid por distrito</c:v>
                </c:pt>
                <c:pt idx="1">
                  <c:v>% igualmente seguro</c:v>
                </c:pt>
              </c:strCache>
            </c:strRef>
          </c:tx>
          <c:spPr>
            <a:solidFill>
              <a:srgbClr val="1A998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calculos'!$K$197:$K$208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calculos'!$L$197:$L$208</c:f>
              <c:numCache>
                <c:formatCode>General</c:formatCode>
                <c:ptCount val="12"/>
                <c:pt idx="0" formatCode="0.0">
                  <c:v>75</c:v>
                </c:pt>
                <c:pt idx="1">
                  <c:v>0</c:v>
                </c:pt>
                <c:pt idx="2">
                  <c:v>100</c:v>
                </c:pt>
                <c:pt idx="3">
                  <c:v>66.129032258064512</c:v>
                </c:pt>
                <c:pt idx="4" formatCode="0.0">
                  <c:v>0</c:v>
                </c:pt>
                <c:pt idx="5">
                  <c:v>66.666666666666671</c:v>
                </c:pt>
                <c:pt idx="6" formatCode="0.0">
                  <c:v>66.666666666666671</c:v>
                </c:pt>
                <c:pt idx="7" formatCode="0.0">
                  <c:v>42.857142857142854</c:v>
                </c:pt>
                <c:pt idx="8" formatCode="0.0">
                  <c:v>62.222222222222221</c:v>
                </c:pt>
                <c:pt idx="9" formatCode="0.0">
                  <c:v>40</c:v>
                </c:pt>
                <c:pt idx="10">
                  <c:v>66.666666666666671</c:v>
                </c:pt>
                <c:pt idx="11" formatCode="0.0">
                  <c:v>38.888888888888886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1A85-4F49-9823-63B15F6248C5}"/>
            </c:ext>
          </c:extLst>
        </c:ser>
        <c:ser>
          <c:idx val="1"/>
          <c:order val="1"/>
          <c:tx>
            <c:strRef>
              <c:f>'folha de calculos'!$M$195:$M$196</c:f>
              <c:strCache>
                <c:ptCount val="2"/>
                <c:pt idx="0">
                  <c:v>Percentagem de sentimento de segurança pós covid por distrito</c:v>
                </c:pt>
                <c:pt idx="1">
                  <c:v>% Mais seguro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calculos'!$K$197:$K$208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calculos'!$M$197:$M$208</c:f>
              <c:numCache>
                <c:formatCode>General</c:formatCode>
                <c:ptCount val="12"/>
                <c:pt idx="0" formatCode="0.0">
                  <c:v>12.5</c:v>
                </c:pt>
                <c:pt idx="1">
                  <c:v>0</c:v>
                </c:pt>
                <c:pt idx="2">
                  <c:v>0</c:v>
                </c:pt>
                <c:pt idx="3">
                  <c:v>6.4516129032258061</c:v>
                </c:pt>
                <c:pt idx="4" formatCode="0.0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14.285714285714286</c:v>
                </c:pt>
                <c:pt idx="8" formatCode="0.0">
                  <c:v>13.333333333333334</c:v>
                </c:pt>
                <c:pt idx="9" formatCode="0.0">
                  <c:v>0</c:v>
                </c:pt>
                <c:pt idx="10">
                  <c:v>0</c:v>
                </c:pt>
                <c:pt idx="11">
                  <c:v>5.5555555555555554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1A85-4F49-9823-63B15F6248C5}"/>
            </c:ext>
          </c:extLst>
        </c:ser>
        <c:ser>
          <c:idx val="2"/>
          <c:order val="2"/>
          <c:tx>
            <c:strRef>
              <c:f>'folha de calculos'!$N$195:$N$196</c:f>
              <c:strCache>
                <c:ptCount val="2"/>
                <c:pt idx="0">
                  <c:v>Percentagem de sentimento de segurança pós covid por distrito</c:v>
                </c:pt>
                <c:pt idx="1">
                  <c:v>% Menos seguro</c:v>
                </c:pt>
              </c:strCache>
            </c:strRef>
          </c:tx>
          <c:spPr>
            <a:solidFill>
              <a:srgbClr val="1F3E7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calculos'!$K$197:$K$208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calculos'!$N$197:$N$208</c:f>
              <c:numCache>
                <c:formatCode>General</c:formatCode>
                <c:ptCount val="12"/>
                <c:pt idx="0" formatCode="0.0">
                  <c:v>12.5</c:v>
                </c:pt>
                <c:pt idx="1">
                  <c:v>100</c:v>
                </c:pt>
                <c:pt idx="2">
                  <c:v>0</c:v>
                </c:pt>
                <c:pt idx="3">
                  <c:v>27.419354838709676</c:v>
                </c:pt>
                <c:pt idx="4" formatCode="0.0">
                  <c:v>100</c:v>
                </c:pt>
                <c:pt idx="5">
                  <c:v>33.333333333333336</c:v>
                </c:pt>
                <c:pt idx="6" formatCode="0.0">
                  <c:v>33.333333333333336</c:v>
                </c:pt>
                <c:pt idx="7" formatCode="0.0">
                  <c:v>42.857142857142854</c:v>
                </c:pt>
                <c:pt idx="8" formatCode="0.0">
                  <c:v>24.444444444444443</c:v>
                </c:pt>
                <c:pt idx="9" formatCode="0.0">
                  <c:v>60</c:v>
                </c:pt>
                <c:pt idx="10">
                  <c:v>33.333333333333336</c:v>
                </c:pt>
                <c:pt idx="11" formatCode="0.0">
                  <c:v>55.555555555555557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1A85-4F49-9823-63B15F624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34386576"/>
        <c:axId val="1274606361"/>
        <c:axId val="0"/>
      </c:bar3DChart>
      <c:catAx>
        <c:axId val="2134386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1274606361"/>
        <c:crosses val="autoZero"/>
        <c:auto val="1"/>
        <c:lblAlgn val="ctr"/>
        <c:lblOffset val="100"/>
        <c:noMultiLvlLbl val="1"/>
      </c:catAx>
      <c:valAx>
        <c:axId val="12746063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213438657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pt-PT" b="0">
                <a:solidFill>
                  <a:srgbClr val="838383"/>
                </a:solidFill>
                <a:latin typeface="+mn-lt"/>
              </a:rPr>
              <a:t>Percentagem de sentimento de segurança</a:t>
            </a:r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'folha de calculos'!$W$100:$W$101</c:f>
              <c:strCache>
                <c:ptCount val="2"/>
                <c:pt idx="0">
                  <c:v>Percentagem de sentimento de segurança </c:v>
                </c:pt>
                <c:pt idx="1">
                  <c:v>Numero </c:v>
                </c:pt>
              </c:strCache>
            </c:strRef>
          </c:tx>
          <c:spPr>
            <a:solidFill>
              <a:srgbClr val="1A998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calculos'!$V$102:$V$105</c:f>
              <c:strCache>
                <c:ptCount val="4"/>
                <c:pt idx="0">
                  <c:v>Muito Seguro</c:v>
                </c:pt>
                <c:pt idx="1">
                  <c:v>Seguro</c:v>
                </c:pt>
                <c:pt idx="2">
                  <c:v>Pouco Seguro</c:v>
                </c:pt>
                <c:pt idx="3">
                  <c:v>Total</c:v>
                </c:pt>
              </c:strCache>
            </c:strRef>
          </c:cat>
          <c:val>
            <c:numRef>
              <c:f>'folha de calculos'!$W$102:$W$105</c:f>
              <c:numCache>
                <c:formatCode>General</c:formatCode>
                <c:ptCount val="4"/>
                <c:pt idx="0">
                  <c:v>13</c:v>
                </c:pt>
                <c:pt idx="1">
                  <c:v>153</c:v>
                </c:pt>
                <c:pt idx="2">
                  <c:v>46</c:v>
                </c:pt>
                <c:pt idx="3">
                  <c:v>212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62F9-7042-A70E-EFCAA3CCBF9E}"/>
            </c:ext>
          </c:extLst>
        </c:ser>
        <c:ser>
          <c:idx val="1"/>
          <c:order val="1"/>
          <c:tx>
            <c:strRef>
              <c:f>'folha de calculos'!$X$100:$X$101</c:f>
              <c:strCache>
                <c:ptCount val="2"/>
                <c:pt idx="0">
                  <c:v>Percentagem de sentimento de segurança </c:v>
                </c:pt>
                <c:pt idx="1">
                  <c:v>Percentagem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calculos'!$V$102:$V$105</c:f>
              <c:strCache>
                <c:ptCount val="4"/>
                <c:pt idx="0">
                  <c:v>Muito Seguro</c:v>
                </c:pt>
                <c:pt idx="1">
                  <c:v>Seguro</c:v>
                </c:pt>
                <c:pt idx="2">
                  <c:v>Pouco Seguro</c:v>
                </c:pt>
                <c:pt idx="3">
                  <c:v>Total</c:v>
                </c:pt>
              </c:strCache>
            </c:strRef>
          </c:cat>
          <c:val>
            <c:numRef>
              <c:f>'folha de calculos'!$X$102:$X$105</c:f>
              <c:numCache>
                <c:formatCode>0.0</c:formatCode>
                <c:ptCount val="4"/>
                <c:pt idx="0">
                  <c:v>6.132075471698113</c:v>
                </c:pt>
                <c:pt idx="1">
                  <c:v>72.169811320754718</c:v>
                </c:pt>
                <c:pt idx="2">
                  <c:v>21.69811320754717</c:v>
                </c:pt>
                <c:pt idx="3" formatCode="0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62F9-7042-A70E-EFCAA3CCBF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28098978"/>
        <c:axId val="534498628"/>
        <c:axId val="0"/>
      </c:bar3DChart>
      <c:catAx>
        <c:axId val="5280989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534498628"/>
        <c:crosses val="autoZero"/>
        <c:auto val="1"/>
        <c:lblAlgn val="ctr"/>
        <c:lblOffset val="100"/>
        <c:noMultiLvlLbl val="1"/>
      </c:catAx>
      <c:valAx>
        <c:axId val="5344986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52809897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 i="0">
                <a:solidFill>
                  <a:srgbClr val="838383"/>
                </a:solidFill>
                <a:latin typeface="+mn-lt"/>
              </a:defRPr>
            </a:pPr>
            <a:r>
              <a:rPr lang="pt-PT" b="0" i="0">
                <a:solidFill>
                  <a:srgbClr val="838383"/>
                </a:solidFill>
                <a:latin typeface="+mn-lt"/>
              </a:rPr>
              <a:t>Percentagem de casos de assédio que obtiveram ajuda</a:t>
            </a:r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1"/>
        <c:ser>
          <c:idx val="0"/>
          <c:order val="0"/>
          <c:tx>
            <c:strRef>
              <c:f>'folha de calculos'!$W$108:$W$109</c:f>
              <c:strCache>
                <c:ptCount val="2"/>
                <c:pt idx="0">
                  <c:v>Ao ser vitima de assédio alguém o ajudou</c:v>
                </c:pt>
                <c:pt idx="1">
                  <c:v>Número</c:v>
                </c:pt>
              </c:strCache>
            </c:strRef>
          </c:tx>
          <c:spPr>
            <a:solidFill>
              <a:srgbClr val="1A998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calculos'!$V$110:$V$112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Total</c:v>
                </c:pt>
              </c:strCache>
            </c:strRef>
          </c:cat>
          <c:val>
            <c:numRef>
              <c:f>'folha de calculos'!$W$110:$W$112</c:f>
              <c:numCache>
                <c:formatCode>General</c:formatCode>
                <c:ptCount val="3"/>
                <c:pt idx="0">
                  <c:v>66</c:v>
                </c:pt>
                <c:pt idx="1">
                  <c:v>46</c:v>
                </c:pt>
                <c:pt idx="2">
                  <c:v>112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CB6E-9940-BBE4-D4EE86DE1153}"/>
            </c:ext>
          </c:extLst>
        </c:ser>
        <c:ser>
          <c:idx val="1"/>
          <c:order val="1"/>
          <c:tx>
            <c:strRef>
              <c:f>'folha de calculos'!$X$108:$X$109</c:f>
              <c:strCache>
                <c:ptCount val="2"/>
                <c:pt idx="0">
                  <c:v>Ao ser vitima de assédio alguém o ajudou</c:v>
                </c:pt>
                <c:pt idx="1">
                  <c:v>Percentagem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calculos'!$V$110:$V$112</c:f>
              <c:strCache>
                <c:ptCount val="3"/>
                <c:pt idx="0">
                  <c:v>Sim</c:v>
                </c:pt>
                <c:pt idx="1">
                  <c:v>Não</c:v>
                </c:pt>
                <c:pt idx="2">
                  <c:v>Total</c:v>
                </c:pt>
              </c:strCache>
            </c:strRef>
          </c:cat>
          <c:val>
            <c:numRef>
              <c:f>'folha de calculos'!$X$110:$X$112</c:f>
              <c:numCache>
                <c:formatCode>0</c:formatCode>
                <c:ptCount val="3"/>
                <c:pt idx="0">
                  <c:v>58.928571428571431</c:v>
                </c:pt>
                <c:pt idx="1">
                  <c:v>41.071428571428569</c:v>
                </c:pt>
                <c:pt idx="2">
                  <c:v>100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CB6E-9940-BBE4-D4EE86DE1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2039596"/>
        <c:axId val="1503049190"/>
        <c:axId val="0"/>
      </c:bar3DChart>
      <c:catAx>
        <c:axId val="3920395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1503049190"/>
        <c:crosses val="autoZero"/>
        <c:auto val="1"/>
        <c:lblAlgn val="ctr"/>
        <c:lblOffset val="100"/>
        <c:noMultiLvlLbl val="1"/>
      </c:catAx>
      <c:valAx>
        <c:axId val="15030491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392039596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pt-PT" b="0">
                <a:solidFill>
                  <a:srgbClr val="838383"/>
                </a:solidFill>
                <a:latin typeface="+mn-lt"/>
              </a:rPr>
              <a:t>Percentagem de Géneros inquiridos </a:t>
            </a:r>
          </a:p>
        </c:rich>
      </c:tx>
      <c:layout/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'folha de calculos'!$C$5:$C$6</c:f>
              <c:strCache>
                <c:ptCount val="2"/>
                <c:pt idx="0">
                  <c:v>Total de respostas à 1ª pergunta: género </c:v>
                </c:pt>
                <c:pt idx="1">
                  <c:v>Número </c:v>
                </c:pt>
              </c:strCache>
            </c:strRef>
          </c:tx>
          <c:dPt>
            <c:idx val="0"/>
            <c:bubble3D val="0"/>
            <c:spPr>
              <a:solidFill>
                <a:srgbClr val="1A9988"/>
              </a:solidFill>
            </c:spPr>
            <c:extLst>
              <c:ext xmlns:c16="http://schemas.microsoft.com/office/drawing/2014/chart" uri="{C3380CC4-5D6E-409C-BE32-E72D297353CC}">
                <c16:uniqueId val="{00000001-FBC6-804F-A755-E43FC783A5B8}"/>
              </c:ext>
            </c:extLst>
          </c:dPt>
          <c:dPt>
            <c:idx val="1"/>
            <c:bubble3D val="0"/>
            <c:spPr>
              <a:solidFill>
                <a:srgbClr val="3C78D8"/>
              </a:solidFill>
            </c:spPr>
            <c:extLst>
              <c:ext xmlns:c16="http://schemas.microsoft.com/office/drawing/2014/chart" uri="{C3380CC4-5D6E-409C-BE32-E72D297353CC}">
                <c16:uniqueId val="{00000003-FBC6-804F-A755-E43FC783A5B8}"/>
              </c:ext>
            </c:extLst>
          </c:dPt>
          <c:dPt>
            <c:idx val="2"/>
            <c:bubble3D val="0"/>
            <c:spPr>
              <a:solidFill>
                <a:srgbClr val="1F3E78"/>
              </a:solidFill>
            </c:spPr>
            <c:extLst>
              <c:ext xmlns:c16="http://schemas.microsoft.com/office/drawing/2014/chart" uri="{C3380CC4-5D6E-409C-BE32-E72D297353CC}">
                <c16:uniqueId val="{00000005-FBC6-804F-A755-E43FC783A5B8}"/>
              </c:ext>
            </c:extLst>
          </c:dPt>
          <c:cat>
            <c:strRef>
              <c:f>'folha de calculos'!$B$7:$B$9</c:f>
              <c:strCache>
                <c:ptCount val="3"/>
                <c:pt idx="0">
                  <c:v>Feminino</c:v>
                </c:pt>
                <c:pt idx="1">
                  <c:v>Maculino</c:v>
                </c:pt>
                <c:pt idx="2">
                  <c:v>Outro</c:v>
                </c:pt>
              </c:strCache>
            </c:strRef>
          </c:cat>
          <c:val>
            <c:numRef>
              <c:f>'folha de calculos'!$C$7:$C$9</c:f>
              <c:numCache>
                <c:formatCode>General</c:formatCode>
                <c:ptCount val="3"/>
                <c:pt idx="0">
                  <c:v>143</c:v>
                </c:pt>
                <c:pt idx="1">
                  <c:v>67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BC6-804F-A755-E43FC783A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pt-PT" b="0">
                <a:solidFill>
                  <a:srgbClr val="838383"/>
                </a:solidFill>
                <a:latin typeface="+mn-lt"/>
              </a:rPr>
              <a:t>Percentagem de distrito dos inquiridos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'folha de calculos'!$C$35:$C$36</c:f>
              <c:strCache>
                <c:ptCount val="2"/>
                <c:pt idx="0">
                  <c:v>Respostas à 4ª pergunta: distritos</c:v>
                </c:pt>
                <c:pt idx="1">
                  <c:v>Número</c:v>
                </c:pt>
              </c:strCache>
            </c:strRef>
          </c:tx>
          <c:dPt>
            <c:idx val="0"/>
            <c:bubble3D val="0"/>
            <c:spPr>
              <a:solidFill>
                <a:srgbClr val="1A9988"/>
              </a:solidFill>
            </c:spPr>
            <c:extLst>
              <c:ext xmlns:c16="http://schemas.microsoft.com/office/drawing/2014/chart" uri="{C3380CC4-5D6E-409C-BE32-E72D297353CC}">
                <c16:uniqueId val="{00000001-A4B6-E94E-B8AD-23C950344419}"/>
              </c:ext>
            </c:extLst>
          </c:dPt>
          <c:dPt>
            <c:idx val="1"/>
            <c:bubble3D val="0"/>
            <c:spPr>
              <a:solidFill>
                <a:srgbClr val="3C78D8"/>
              </a:solidFill>
            </c:spPr>
            <c:extLst>
              <c:ext xmlns:c16="http://schemas.microsoft.com/office/drawing/2014/chart" uri="{C3380CC4-5D6E-409C-BE32-E72D297353CC}">
                <c16:uniqueId val="{00000003-A4B6-E94E-B8AD-23C950344419}"/>
              </c:ext>
            </c:extLst>
          </c:dPt>
          <c:dPt>
            <c:idx val="2"/>
            <c:bubble3D val="0"/>
            <c:spPr>
              <a:solidFill>
                <a:srgbClr val="1F3E78"/>
              </a:solidFill>
            </c:spPr>
            <c:extLst>
              <c:ext xmlns:c16="http://schemas.microsoft.com/office/drawing/2014/chart" uri="{C3380CC4-5D6E-409C-BE32-E72D297353CC}">
                <c16:uniqueId val="{00000005-A4B6-E94E-B8AD-23C950344419}"/>
              </c:ext>
            </c:extLst>
          </c:dPt>
          <c:dPt>
            <c:idx val="3"/>
            <c:bubble3D val="0"/>
            <c:spPr>
              <a:solidFill>
                <a:srgbClr val="EB5600"/>
              </a:solidFill>
            </c:spPr>
            <c:extLst>
              <c:ext xmlns:c16="http://schemas.microsoft.com/office/drawing/2014/chart" uri="{C3380CC4-5D6E-409C-BE32-E72D297353CC}">
                <c16:uniqueId val="{00000007-A4B6-E94E-B8AD-23C950344419}"/>
              </c:ext>
            </c:extLst>
          </c:dPt>
          <c:dPt>
            <c:idx val="4"/>
            <c:bubble3D val="0"/>
            <c:spPr>
              <a:solidFill>
                <a:srgbClr val="FF99AC"/>
              </a:solidFill>
            </c:spPr>
            <c:extLst>
              <c:ext xmlns:c16="http://schemas.microsoft.com/office/drawing/2014/chart" uri="{C3380CC4-5D6E-409C-BE32-E72D297353CC}">
                <c16:uniqueId val="{00000009-A4B6-E94E-B8AD-23C950344419}"/>
              </c:ext>
            </c:extLst>
          </c:dPt>
          <c:dPt>
            <c:idx val="5"/>
            <c:bubble3D val="0"/>
            <c:spPr>
              <a:solidFill>
                <a:srgbClr val="FFD4B8"/>
              </a:solidFill>
            </c:spPr>
            <c:extLst>
              <c:ext xmlns:c16="http://schemas.microsoft.com/office/drawing/2014/chart" uri="{C3380CC4-5D6E-409C-BE32-E72D297353CC}">
                <c16:uniqueId val="{0000000B-A4B6-E94E-B8AD-23C950344419}"/>
              </c:ext>
            </c:extLst>
          </c:dPt>
          <c:dPt>
            <c:idx val="6"/>
            <c:bubble3D val="0"/>
            <c:spPr>
              <a:solidFill>
                <a:srgbClr val="5FB8AC"/>
              </a:solidFill>
            </c:spPr>
            <c:extLst>
              <c:ext xmlns:c16="http://schemas.microsoft.com/office/drawing/2014/chart" uri="{C3380CC4-5D6E-409C-BE32-E72D297353CC}">
                <c16:uniqueId val="{0000000D-A4B6-E94E-B8AD-23C950344419}"/>
              </c:ext>
            </c:extLst>
          </c:dPt>
          <c:dPt>
            <c:idx val="7"/>
            <c:bubble3D val="0"/>
            <c:spPr>
              <a:solidFill>
                <a:srgbClr val="77A1E4"/>
              </a:solidFill>
            </c:spPr>
            <c:extLst>
              <c:ext xmlns:c16="http://schemas.microsoft.com/office/drawing/2014/chart" uri="{C3380CC4-5D6E-409C-BE32-E72D297353CC}">
                <c16:uniqueId val="{0000000F-A4B6-E94E-B8AD-23C950344419}"/>
              </c:ext>
            </c:extLst>
          </c:dPt>
          <c:dPt>
            <c:idx val="8"/>
            <c:bubble3D val="0"/>
            <c:spPr>
              <a:solidFill>
                <a:srgbClr val="6278A1"/>
              </a:solidFill>
            </c:spPr>
            <c:extLst>
              <c:ext xmlns:c16="http://schemas.microsoft.com/office/drawing/2014/chart" uri="{C3380CC4-5D6E-409C-BE32-E72D297353CC}">
                <c16:uniqueId val="{00000011-A4B6-E94E-B8AD-23C950344419}"/>
              </c:ext>
            </c:extLst>
          </c:dPt>
          <c:dPt>
            <c:idx val="9"/>
            <c:bubble3D val="0"/>
            <c:spPr>
              <a:solidFill>
                <a:srgbClr val="F1894D"/>
              </a:solidFill>
            </c:spPr>
            <c:extLst>
              <c:ext xmlns:c16="http://schemas.microsoft.com/office/drawing/2014/chart" uri="{C3380CC4-5D6E-409C-BE32-E72D297353CC}">
                <c16:uniqueId val="{00000013-A4B6-E94E-B8AD-23C950344419}"/>
              </c:ext>
            </c:extLst>
          </c:dPt>
          <c:dPt>
            <c:idx val="10"/>
            <c:bubble3D val="0"/>
            <c:spPr>
              <a:solidFill>
                <a:srgbClr val="FFB8C5"/>
              </a:solidFill>
            </c:spPr>
            <c:extLst>
              <c:ext xmlns:c16="http://schemas.microsoft.com/office/drawing/2014/chart" uri="{C3380CC4-5D6E-409C-BE32-E72D297353CC}">
                <c16:uniqueId val="{00000015-A4B6-E94E-B8AD-23C950344419}"/>
              </c:ext>
            </c:extLst>
          </c:dPt>
          <c:dPt>
            <c:idx val="11"/>
            <c:bubble3D val="0"/>
            <c:spPr>
              <a:solidFill>
                <a:srgbClr val="FFE1CD"/>
              </a:solidFill>
            </c:spPr>
            <c:extLst>
              <c:ext xmlns:c16="http://schemas.microsoft.com/office/drawing/2014/chart" uri="{C3380CC4-5D6E-409C-BE32-E72D297353CC}">
                <c16:uniqueId val="{00000017-A4B6-E94E-B8AD-23C950344419}"/>
              </c:ext>
            </c:extLst>
          </c:dPt>
          <c:cat>
            <c:strRef>
              <c:f>'folha de calculos'!$B$37:$B$48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calculos'!$C$37:$C$48</c:f>
              <c:numCache>
                <c:formatCode>General</c:formatCode>
                <c:ptCount val="12"/>
                <c:pt idx="0">
                  <c:v>39</c:v>
                </c:pt>
                <c:pt idx="1">
                  <c:v>8</c:v>
                </c:pt>
                <c:pt idx="2">
                  <c:v>1</c:v>
                </c:pt>
                <c:pt idx="3">
                  <c:v>2</c:v>
                </c:pt>
                <c:pt idx="4">
                  <c:v>62</c:v>
                </c:pt>
                <c:pt idx="5">
                  <c:v>2</c:v>
                </c:pt>
                <c:pt idx="6">
                  <c:v>3</c:v>
                </c:pt>
                <c:pt idx="7">
                  <c:v>3</c:v>
                </c:pt>
                <c:pt idx="8">
                  <c:v>21</c:v>
                </c:pt>
                <c:pt idx="9">
                  <c:v>45</c:v>
                </c:pt>
                <c:pt idx="10">
                  <c:v>5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4B6-E94E-B8AD-23C95034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pt-PT" b="0">
                <a:solidFill>
                  <a:srgbClr val="838383"/>
                </a:solidFill>
                <a:latin typeface="+mn-lt"/>
              </a:rPr>
              <a:t>Géneros que mais sai e que menos sai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'folha de calculos'!$S$26:$S$27</c:f>
              <c:strCache>
                <c:ptCount val="2"/>
                <c:pt idx="0">
                  <c:v>Qual o género que mais sai e o que menos saí</c:v>
                </c:pt>
                <c:pt idx="1">
                  <c:v>saí</c:v>
                </c:pt>
              </c:strCache>
            </c:strRef>
          </c:tx>
          <c:spPr>
            <a:solidFill>
              <a:srgbClr val="1A998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calculos'!$R$28:$R$31</c:f>
              <c:strCache>
                <c:ptCount val="4"/>
                <c:pt idx="0">
                  <c:v>Feminino</c:v>
                </c:pt>
                <c:pt idx="1">
                  <c:v>Maculino</c:v>
                </c:pt>
                <c:pt idx="2">
                  <c:v>Outro</c:v>
                </c:pt>
                <c:pt idx="3">
                  <c:v>Total</c:v>
                </c:pt>
              </c:strCache>
            </c:strRef>
          </c:cat>
          <c:val>
            <c:numRef>
              <c:f>'folha de calculos'!$S$28:$S$31</c:f>
              <c:numCache>
                <c:formatCode>General</c:formatCode>
                <c:ptCount val="4"/>
                <c:pt idx="0">
                  <c:v>117</c:v>
                </c:pt>
                <c:pt idx="1">
                  <c:v>58</c:v>
                </c:pt>
                <c:pt idx="2">
                  <c:v>1</c:v>
                </c:pt>
                <c:pt idx="3">
                  <c:v>176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E00-BA47-85B4-EC75F4EDD438}"/>
            </c:ext>
          </c:extLst>
        </c:ser>
        <c:ser>
          <c:idx val="1"/>
          <c:order val="1"/>
          <c:tx>
            <c:strRef>
              <c:f>'folha de calculos'!$T$26:$T$27</c:f>
              <c:strCache>
                <c:ptCount val="2"/>
                <c:pt idx="0">
                  <c:v>Qual o género que mais sai e o que menos saí</c:v>
                </c:pt>
                <c:pt idx="1">
                  <c:v>Percentagem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calculos'!$R$28:$R$31</c:f>
              <c:strCache>
                <c:ptCount val="4"/>
                <c:pt idx="0">
                  <c:v>Feminino</c:v>
                </c:pt>
                <c:pt idx="1">
                  <c:v>Maculino</c:v>
                </c:pt>
                <c:pt idx="2">
                  <c:v>Outro</c:v>
                </c:pt>
                <c:pt idx="3">
                  <c:v>Total</c:v>
                </c:pt>
              </c:strCache>
            </c:strRef>
          </c:cat>
          <c:val>
            <c:numRef>
              <c:f>'folha de calculos'!$T$28:$T$31</c:f>
              <c:numCache>
                <c:formatCode>0</c:formatCode>
                <c:ptCount val="4"/>
                <c:pt idx="0">
                  <c:v>81.818181818181813</c:v>
                </c:pt>
                <c:pt idx="1">
                  <c:v>86.567164179104481</c:v>
                </c:pt>
                <c:pt idx="2">
                  <c:v>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E00-BA47-85B4-EC75F4EDD438}"/>
            </c:ext>
          </c:extLst>
        </c:ser>
        <c:ser>
          <c:idx val="2"/>
          <c:order val="2"/>
          <c:tx>
            <c:strRef>
              <c:f>'folha de calculos'!$U$26:$U$27</c:f>
              <c:strCache>
                <c:ptCount val="2"/>
                <c:pt idx="0">
                  <c:v>Qual o género que mais sai e o que menos saí</c:v>
                </c:pt>
                <c:pt idx="1">
                  <c:v>não saí </c:v>
                </c:pt>
              </c:strCache>
            </c:strRef>
          </c:tx>
          <c:spPr>
            <a:solidFill>
              <a:srgbClr val="1F3E7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calculos'!$R$28:$R$31</c:f>
              <c:strCache>
                <c:ptCount val="4"/>
                <c:pt idx="0">
                  <c:v>Feminino</c:v>
                </c:pt>
                <c:pt idx="1">
                  <c:v>Maculino</c:v>
                </c:pt>
                <c:pt idx="2">
                  <c:v>Outro</c:v>
                </c:pt>
                <c:pt idx="3">
                  <c:v>Total</c:v>
                </c:pt>
              </c:strCache>
            </c:strRef>
          </c:cat>
          <c:val>
            <c:numRef>
              <c:f>'folha de calculos'!$U$28:$U$31</c:f>
              <c:numCache>
                <c:formatCode>General</c:formatCode>
                <c:ptCount val="4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8E00-BA47-85B4-EC75F4EDD438}"/>
            </c:ext>
          </c:extLst>
        </c:ser>
        <c:ser>
          <c:idx val="3"/>
          <c:order val="3"/>
          <c:tx>
            <c:strRef>
              <c:f>'folha de calculos'!$V$26:$V$27</c:f>
              <c:strCache>
                <c:ptCount val="2"/>
                <c:pt idx="0">
                  <c:v>Qual o género que mais sai e o que menos saí</c:v>
                </c:pt>
                <c:pt idx="1">
                  <c:v>Percentagem</c:v>
                </c:pt>
              </c:strCache>
            </c:strRef>
          </c:tx>
          <c:spPr>
            <a:solidFill>
              <a:srgbClr val="EB56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calculos'!$R$28:$R$31</c:f>
              <c:strCache>
                <c:ptCount val="4"/>
                <c:pt idx="0">
                  <c:v>Feminino</c:v>
                </c:pt>
                <c:pt idx="1">
                  <c:v>Maculino</c:v>
                </c:pt>
                <c:pt idx="2">
                  <c:v>Outro</c:v>
                </c:pt>
                <c:pt idx="3">
                  <c:v>Total</c:v>
                </c:pt>
              </c:strCache>
            </c:strRef>
          </c:cat>
          <c:val>
            <c:numRef>
              <c:f>'folha de calculos'!$V$28:$V$31</c:f>
              <c:numCache>
                <c:formatCode>0</c:formatCode>
                <c:ptCount val="4"/>
                <c:pt idx="0">
                  <c:v>18.181818181818183</c:v>
                </c:pt>
                <c:pt idx="1">
                  <c:v>13.432835820895523</c:v>
                </c:pt>
                <c:pt idx="2" formatCode="General">
                  <c:v>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8E00-BA47-85B4-EC75F4EDD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0433690"/>
        <c:axId val="403552600"/>
      </c:barChart>
      <c:catAx>
        <c:axId val="220433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403552600"/>
        <c:crosses val="autoZero"/>
        <c:auto val="1"/>
        <c:lblAlgn val="ctr"/>
        <c:lblOffset val="100"/>
        <c:noMultiLvlLbl val="1"/>
      </c:catAx>
      <c:valAx>
        <c:axId val="403552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22043369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pt-PT" b="0">
                <a:solidFill>
                  <a:srgbClr val="838383"/>
                </a:solidFill>
                <a:latin typeface="+mn-lt"/>
              </a:rPr>
              <a:t>Percentagem de faixas etárias por distrito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'folha de calculos'!$C$138:$C$139</c:f>
              <c:strCache>
                <c:ptCount val="2"/>
                <c:pt idx="0">
                  <c:v>Faixas etárias por distritos</c:v>
                </c:pt>
                <c:pt idx="1">
                  <c:v> % &lt;18</c:v>
                </c:pt>
              </c:strCache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calculos'!$B$140:$B$151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calculos'!$C$140:$C$151</c:f>
              <c:numCache>
                <c:formatCode>General</c:formatCode>
                <c:ptCount val="12"/>
                <c:pt idx="0" formatCode="0.0">
                  <c:v>7.6923076923076925</c:v>
                </c:pt>
                <c:pt idx="1">
                  <c:v>12.5</c:v>
                </c:pt>
                <c:pt idx="2">
                  <c:v>0</c:v>
                </c:pt>
                <c:pt idx="3">
                  <c:v>50</c:v>
                </c:pt>
                <c:pt idx="4" formatCode="0.0">
                  <c:v>22.580645161290324</c:v>
                </c:pt>
                <c:pt idx="5">
                  <c:v>0</c:v>
                </c:pt>
                <c:pt idx="6" formatCode="0.0">
                  <c:v>66.666666666666671</c:v>
                </c:pt>
                <c:pt idx="7" formatCode="0.0">
                  <c:v>33.333333333333336</c:v>
                </c:pt>
                <c:pt idx="8" formatCode="0.0">
                  <c:v>23.80952380952381</c:v>
                </c:pt>
                <c:pt idx="9" formatCode="0.0">
                  <c:v>24.444444444444443</c:v>
                </c:pt>
                <c:pt idx="10">
                  <c:v>40</c:v>
                </c:pt>
                <c:pt idx="11" formatCode="0.0">
                  <c:v>33.333333333333336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486-BE4F-A9A3-3DBDC5B7FE9F}"/>
            </c:ext>
          </c:extLst>
        </c:ser>
        <c:ser>
          <c:idx val="1"/>
          <c:order val="1"/>
          <c:tx>
            <c:strRef>
              <c:f>'folha de calculos'!$D$138:$D$139</c:f>
              <c:strCache>
                <c:ptCount val="2"/>
                <c:pt idx="0">
                  <c:v>Faixas etárias por distritos</c:v>
                </c:pt>
                <c:pt idx="1">
                  <c:v>% 18-23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calculos'!$B$140:$B$151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calculos'!$D$140:$D$151</c:f>
              <c:numCache>
                <c:formatCode>General</c:formatCode>
                <c:ptCount val="12"/>
                <c:pt idx="0" formatCode="0.0">
                  <c:v>87.179487179487182</c:v>
                </c:pt>
                <c:pt idx="1">
                  <c:v>62.5</c:v>
                </c:pt>
                <c:pt idx="2">
                  <c:v>100</c:v>
                </c:pt>
                <c:pt idx="3">
                  <c:v>50</c:v>
                </c:pt>
                <c:pt idx="4" formatCode="0.0">
                  <c:v>74.193548387096769</c:v>
                </c:pt>
                <c:pt idx="5">
                  <c:v>33.333333333333336</c:v>
                </c:pt>
                <c:pt idx="6" formatCode="0.0">
                  <c:v>33.333333333333336</c:v>
                </c:pt>
                <c:pt idx="7" formatCode="0.0">
                  <c:v>66.666666666666671</c:v>
                </c:pt>
                <c:pt idx="8" formatCode="0.0">
                  <c:v>57.142857142857146</c:v>
                </c:pt>
                <c:pt idx="9" formatCode="0.0">
                  <c:v>62.222222222222221</c:v>
                </c:pt>
                <c:pt idx="10">
                  <c:v>60</c:v>
                </c:pt>
                <c:pt idx="11" formatCode="0.0">
                  <c:v>66.666666666666671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B486-BE4F-A9A3-3DBDC5B7FE9F}"/>
            </c:ext>
          </c:extLst>
        </c:ser>
        <c:ser>
          <c:idx val="2"/>
          <c:order val="2"/>
          <c:tx>
            <c:strRef>
              <c:f>'folha de calculos'!$E$138:$E$139</c:f>
              <c:strCache>
                <c:ptCount val="2"/>
                <c:pt idx="0">
                  <c:v>Faixas etárias por distritos</c:v>
                </c:pt>
                <c:pt idx="1">
                  <c:v> % 24-29</c:v>
                </c:pt>
              </c:strCache>
            </c:strRef>
          </c:tx>
          <c:spPr>
            <a:solidFill>
              <a:srgbClr val="38761D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calculos'!$B$140:$B$151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calculos'!$E$140:$E$151</c:f>
              <c:numCache>
                <c:formatCode>General</c:formatCode>
                <c:ptCount val="12"/>
                <c:pt idx="0" formatCode="0.0">
                  <c:v>2.5641025641025643</c:v>
                </c:pt>
                <c:pt idx="1">
                  <c:v>12.5</c:v>
                </c:pt>
                <c:pt idx="2">
                  <c:v>0</c:v>
                </c:pt>
                <c:pt idx="3">
                  <c:v>0</c:v>
                </c:pt>
                <c:pt idx="4" formatCode="0.0">
                  <c:v>1.6129032258064515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">
                  <c:v>9.5238095238095237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B486-BE4F-A9A3-3DBDC5B7FE9F}"/>
            </c:ext>
          </c:extLst>
        </c:ser>
        <c:ser>
          <c:idx val="3"/>
          <c:order val="3"/>
          <c:tx>
            <c:strRef>
              <c:f>'folha de calculos'!$F$138:$F$139</c:f>
              <c:strCache>
                <c:ptCount val="2"/>
                <c:pt idx="0">
                  <c:v>Faixas etárias por distritos</c:v>
                </c:pt>
                <c:pt idx="1">
                  <c:v>% 30-35</c:v>
                </c:pt>
              </c:strCache>
            </c:strRef>
          </c:tx>
          <c:spPr>
            <a:solidFill>
              <a:srgbClr val="674EA7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calculos'!$B$140:$B$151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calculos'!$F$140:$F$151</c:f>
              <c:numCache>
                <c:formatCode>General</c:formatCode>
                <c:ptCount val="12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">
                  <c:v>2.2222222222222223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B486-BE4F-A9A3-3DBDC5B7FE9F}"/>
            </c:ext>
          </c:extLst>
        </c:ser>
        <c:ser>
          <c:idx val="4"/>
          <c:order val="4"/>
          <c:tx>
            <c:strRef>
              <c:f>'folha de calculos'!$G$138:$G$139</c:f>
              <c:strCache>
                <c:ptCount val="2"/>
                <c:pt idx="0">
                  <c:v>Faixas etárias por distritos</c:v>
                </c:pt>
                <c:pt idx="1">
                  <c:v>% 36-41</c:v>
                </c:pt>
              </c:strCache>
            </c:strRef>
          </c:tx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calculos'!$B$140:$B$151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calculos'!$G$140:$G$151</c:f>
              <c:numCache>
                <c:formatCode>General</c:formatCode>
                <c:ptCount val="12"/>
                <c:pt idx="0" formatCode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">
                  <c:v>9.5238095238095237</c:v>
                </c:pt>
                <c:pt idx="9" formatCode="0.0">
                  <c:v>6.666666666666667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B486-BE4F-A9A3-3DBDC5B7FE9F}"/>
            </c:ext>
          </c:extLst>
        </c:ser>
        <c:ser>
          <c:idx val="5"/>
          <c:order val="5"/>
          <c:tx>
            <c:strRef>
              <c:f>'folha de calculos'!$H$138:$H$139</c:f>
              <c:strCache>
                <c:ptCount val="2"/>
                <c:pt idx="0">
                  <c:v>Faixas etárias por distritos</c:v>
                </c:pt>
                <c:pt idx="1">
                  <c:v>% &gt;41</c:v>
                </c:pt>
              </c:strCache>
            </c:strRef>
          </c:tx>
          <c:spPr>
            <a:solidFill>
              <a:srgbClr val="85200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calculos'!$B$140:$B$151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calculos'!$H$140:$H$151</c:f>
              <c:numCache>
                <c:formatCode>General</c:formatCode>
                <c:ptCount val="12"/>
                <c:pt idx="0" formatCode="0.0">
                  <c:v>2.5641025641025643</c:v>
                </c:pt>
                <c:pt idx="1">
                  <c:v>12.5</c:v>
                </c:pt>
                <c:pt idx="2">
                  <c:v>0</c:v>
                </c:pt>
                <c:pt idx="3">
                  <c:v>0</c:v>
                </c:pt>
                <c:pt idx="4" formatCode="0.0">
                  <c:v>1.6129032258064515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">
                  <c:v>4.4444444444444446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B486-BE4F-A9A3-3DBDC5B7F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47735004"/>
        <c:axId val="264435096"/>
      </c:barChart>
      <c:catAx>
        <c:axId val="1947735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1A1A1A"/>
                    </a:solidFill>
                    <a:latin typeface="+mn-lt"/>
                  </a:rPr>
                  <a:t>distritos / faixas etárias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264435096"/>
        <c:crosses val="autoZero"/>
        <c:auto val="1"/>
        <c:lblAlgn val="ctr"/>
        <c:lblOffset val="100"/>
        <c:noMultiLvlLbl val="1"/>
      </c:catAx>
      <c:valAx>
        <c:axId val="264435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19477350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pt-PT" b="0">
                <a:solidFill>
                  <a:srgbClr val="838383"/>
                </a:solidFill>
                <a:latin typeface="+mn-lt"/>
              </a:rPr>
              <a:t>Percentagem de frequência de saídas à noite por faixas etárias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'folha de calculos'!$J$128:$J$129</c:f>
              <c:strCache>
                <c:ptCount val="2"/>
                <c:pt idx="0">
                  <c:v>Frequência de saídas por faixas etárias</c:v>
                </c:pt>
                <c:pt idx="1">
                  <c:v>% quase todos os dias </c:v>
                </c:pt>
              </c:strCache>
            </c:strRef>
          </c:tx>
          <c:spPr>
            <a:solidFill>
              <a:srgbClr val="1A998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calculos'!$I$130:$I$135</c:f>
              <c:strCache>
                <c:ptCount val="6"/>
                <c:pt idx="0">
                  <c:v>&lt;18</c:v>
                </c:pt>
                <c:pt idx="1">
                  <c:v>18-23</c:v>
                </c:pt>
                <c:pt idx="2">
                  <c:v>24-29</c:v>
                </c:pt>
                <c:pt idx="3">
                  <c:v>30-35</c:v>
                </c:pt>
                <c:pt idx="4">
                  <c:v>36-41</c:v>
                </c:pt>
                <c:pt idx="5">
                  <c:v>&gt;41</c:v>
                </c:pt>
              </c:strCache>
            </c:strRef>
          </c:cat>
          <c:val>
            <c:numRef>
              <c:f>'folha de calculos'!$J$130:$J$135</c:f>
              <c:numCache>
                <c:formatCode>0.0</c:formatCode>
                <c:ptCount val="6"/>
                <c:pt idx="0">
                  <c:v>14.634146341463415</c:v>
                </c:pt>
                <c:pt idx="1">
                  <c:v>5.5172413793103452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16.666666666666668</c:v>
                </c:pt>
                <c:pt idx="5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795-6E4D-8C05-76025FE05E76}"/>
            </c:ext>
          </c:extLst>
        </c:ser>
        <c:ser>
          <c:idx val="1"/>
          <c:order val="1"/>
          <c:tx>
            <c:strRef>
              <c:f>'folha de calculos'!$K$128:$K$129</c:f>
              <c:strCache>
                <c:ptCount val="2"/>
                <c:pt idx="0">
                  <c:v>Frequência de saídas por faixas etárias</c:v>
                </c:pt>
                <c:pt idx="1">
                  <c:v> % 1-2 vezes por semana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calculos'!$I$130:$I$135</c:f>
              <c:strCache>
                <c:ptCount val="6"/>
                <c:pt idx="0">
                  <c:v>&lt;18</c:v>
                </c:pt>
                <c:pt idx="1">
                  <c:v>18-23</c:v>
                </c:pt>
                <c:pt idx="2">
                  <c:v>24-29</c:v>
                </c:pt>
                <c:pt idx="3">
                  <c:v>30-35</c:v>
                </c:pt>
                <c:pt idx="4">
                  <c:v>36-41</c:v>
                </c:pt>
                <c:pt idx="5">
                  <c:v>&gt;41</c:v>
                </c:pt>
              </c:strCache>
            </c:strRef>
          </c:cat>
          <c:val>
            <c:numRef>
              <c:f>'folha de calculos'!$K$130:$K$135</c:f>
              <c:numCache>
                <c:formatCode>0.0</c:formatCode>
                <c:ptCount val="6"/>
                <c:pt idx="0">
                  <c:v>46.341463414634148</c:v>
                </c:pt>
                <c:pt idx="1">
                  <c:v>44.137931034482762</c:v>
                </c:pt>
                <c:pt idx="2" formatCode="0">
                  <c:v>80</c:v>
                </c:pt>
                <c:pt idx="3" formatCode="0">
                  <c:v>0</c:v>
                </c:pt>
                <c:pt idx="4" formatCode="0">
                  <c:v>33.333333333333336</c:v>
                </c:pt>
                <c:pt idx="5" formatCode="0">
                  <c:v>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795-6E4D-8C05-76025FE05E76}"/>
            </c:ext>
          </c:extLst>
        </c:ser>
        <c:ser>
          <c:idx val="2"/>
          <c:order val="2"/>
          <c:tx>
            <c:strRef>
              <c:f>'folha de calculos'!$L$128:$L$129</c:f>
              <c:strCache>
                <c:ptCount val="2"/>
                <c:pt idx="0">
                  <c:v>Frequência de saídas por faixas etárias</c:v>
                </c:pt>
                <c:pt idx="1">
                  <c:v>% 1-2 vezes por mês</c:v>
                </c:pt>
              </c:strCache>
            </c:strRef>
          </c:tx>
          <c:spPr>
            <a:solidFill>
              <a:srgbClr val="1F3E7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calculos'!$I$130:$I$135</c:f>
              <c:strCache>
                <c:ptCount val="6"/>
                <c:pt idx="0">
                  <c:v>&lt;18</c:v>
                </c:pt>
                <c:pt idx="1">
                  <c:v>18-23</c:v>
                </c:pt>
                <c:pt idx="2">
                  <c:v>24-29</c:v>
                </c:pt>
                <c:pt idx="3">
                  <c:v>30-35</c:v>
                </c:pt>
                <c:pt idx="4">
                  <c:v>36-41</c:v>
                </c:pt>
                <c:pt idx="5">
                  <c:v>&gt;41</c:v>
                </c:pt>
              </c:strCache>
            </c:strRef>
          </c:cat>
          <c:val>
            <c:numRef>
              <c:f>'folha de calculos'!$L$130:$L$135</c:f>
              <c:numCache>
                <c:formatCode>0</c:formatCode>
                <c:ptCount val="6"/>
                <c:pt idx="0" formatCode="0.0">
                  <c:v>29.26829268292683</c:v>
                </c:pt>
                <c:pt idx="1">
                  <c:v>28.96551724137931</c:v>
                </c:pt>
                <c:pt idx="2" formatCode="General">
                  <c:v>0</c:v>
                </c:pt>
                <c:pt idx="3" formatCode="General">
                  <c:v>100</c:v>
                </c:pt>
                <c:pt idx="4" formatCode="General">
                  <c:v>50</c:v>
                </c:pt>
                <c:pt idx="5" formatCode="General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795-6E4D-8C05-76025FE05E76}"/>
            </c:ext>
          </c:extLst>
        </c:ser>
        <c:ser>
          <c:idx val="3"/>
          <c:order val="3"/>
          <c:tx>
            <c:strRef>
              <c:f>'folha de calculos'!$M$128:$M$129</c:f>
              <c:strCache>
                <c:ptCount val="2"/>
                <c:pt idx="0">
                  <c:v>Frequência de saídas por faixas etárias</c:v>
                </c:pt>
                <c:pt idx="1">
                  <c:v>% raramente saio</c:v>
                </c:pt>
              </c:strCache>
            </c:strRef>
          </c:tx>
          <c:spPr>
            <a:solidFill>
              <a:srgbClr val="EB56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calculos'!$I$130:$I$135</c:f>
              <c:strCache>
                <c:ptCount val="6"/>
                <c:pt idx="0">
                  <c:v>&lt;18</c:v>
                </c:pt>
                <c:pt idx="1">
                  <c:v>18-23</c:v>
                </c:pt>
                <c:pt idx="2">
                  <c:v>24-29</c:v>
                </c:pt>
                <c:pt idx="3">
                  <c:v>30-35</c:v>
                </c:pt>
                <c:pt idx="4">
                  <c:v>36-41</c:v>
                </c:pt>
                <c:pt idx="5">
                  <c:v>&gt;41</c:v>
                </c:pt>
              </c:strCache>
            </c:strRef>
          </c:cat>
          <c:val>
            <c:numRef>
              <c:f>'folha de calculos'!$M$130:$M$135</c:f>
              <c:numCache>
                <c:formatCode>0.0</c:formatCode>
                <c:ptCount val="6"/>
                <c:pt idx="0">
                  <c:v>9.7560975609756095</c:v>
                </c:pt>
                <c:pt idx="1">
                  <c:v>21.379310344827587</c:v>
                </c:pt>
                <c:pt idx="2" formatCode="General">
                  <c:v>20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50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795-6E4D-8C05-76025FE05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20815"/>
        <c:axId val="571198898"/>
      </c:barChart>
      <c:catAx>
        <c:axId val="498208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571198898"/>
        <c:crosses val="autoZero"/>
        <c:auto val="1"/>
        <c:lblAlgn val="ctr"/>
        <c:lblOffset val="100"/>
        <c:noMultiLvlLbl val="1"/>
      </c:catAx>
      <c:valAx>
        <c:axId val="5711988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49820815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pt-PT" b="0">
                <a:solidFill>
                  <a:srgbClr val="838383"/>
                </a:solidFill>
                <a:latin typeface="+mn-lt"/>
              </a:rPr>
              <a:t>Percentagem de obtenção de objetos de desfesa por faixas etárias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'folha de calculos'!$L$138:$L$139</c:f>
              <c:strCache>
                <c:ptCount val="2"/>
                <c:pt idx="0">
                  <c:v>Obtenção de objetos de desfesa por faixas etárias</c:v>
                </c:pt>
                <c:pt idx="1">
                  <c:v>% não</c:v>
                </c:pt>
              </c:strCache>
            </c:strRef>
          </c:tx>
          <c:spPr>
            <a:solidFill>
              <a:srgbClr val="1A998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calculos'!$K$140:$K$145</c:f>
              <c:strCache>
                <c:ptCount val="6"/>
                <c:pt idx="0">
                  <c:v>&lt;18</c:v>
                </c:pt>
                <c:pt idx="1">
                  <c:v>18-23</c:v>
                </c:pt>
                <c:pt idx="2">
                  <c:v>24-29</c:v>
                </c:pt>
                <c:pt idx="3">
                  <c:v>30-35</c:v>
                </c:pt>
                <c:pt idx="4">
                  <c:v>36-41</c:v>
                </c:pt>
                <c:pt idx="5">
                  <c:v>&gt;41</c:v>
                </c:pt>
              </c:strCache>
            </c:strRef>
          </c:cat>
          <c:val>
            <c:numRef>
              <c:f>'folha de calculos'!$L$140:$L$145</c:f>
              <c:numCache>
                <c:formatCode>0.0</c:formatCode>
                <c:ptCount val="6"/>
                <c:pt idx="0">
                  <c:v>22.222222222222221</c:v>
                </c:pt>
                <c:pt idx="1">
                  <c:v>22.972972972972972</c:v>
                </c:pt>
                <c:pt idx="2" formatCode="General">
                  <c:v>20</c:v>
                </c:pt>
                <c:pt idx="3" formatCode="General">
                  <c:v>0</c:v>
                </c:pt>
                <c:pt idx="4" formatCode="General">
                  <c:v>50</c:v>
                </c:pt>
                <c:pt idx="5">
                  <c:v>14.285714285714286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E1E-7E4C-8357-B9E1AB860681}"/>
            </c:ext>
          </c:extLst>
        </c:ser>
        <c:ser>
          <c:idx val="1"/>
          <c:order val="1"/>
          <c:tx>
            <c:strRef>
              <c:f>'folha de calculos'!$M$138:$M$139</c:f>
              <c:strCache>
                <c:ptCount val="2"/>
                <c:pt idx="0">
                  <c:v>Obtenção de objetos de desfesa por faixas etárias</c:v>
                </c:pt>
                <c:pt idx="1">
                  <c:v>% nunca pensei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calculos'!$K$140:$K$145</c:f>
              <c:strCache>
                <c:ptCount val="6"/>
                <c:pt idx="0">
                  <c:v>&lt;18</c:v>
                </c:pt>
                <c:pt idx="1">
                  <c:v>18-23</c:v>
                </c:pt>
                <c:pt idx="2">
                  <c:v>24-29</c:v>
                </c:pt>
                <c:pt idx="3">
                  <c:v>30-35</c:v>
                </c:pt>
                <c:pt idx="4">
                  <c:v>36-41</c:v>
                </c:pt>
                <c:pt idx="5">
                  <c:v>&gt;41</c:v>
                </c:pt>
              </c:strCache>
            </c:strRef>
          </c:cat>
          <c:val>
            <c:numRef>
              <c:f>'folha de calculos'!$M$140:$M$145</c:f>
              <c:numCache>
                <c:formatCode>0.0</c:formatCode>
                <c:ptCount val="6"/>
                <c:pt idx="0">
                  <c:v>37.777777777777779</c:v>
                </c:pt>
                <c:pt idx="1">
                  <c:v>38.513513513513516</c:v>
                </c:pt>
                <c:pt idx="2" formatCode="General">
                  <c:v>40</c:v>
                </c:pt>
                <c:pt idx="3" formatCode="General">
                  <c:v>0</c:v>
                </c:pt>
                <c:pt idx="4">
                  <c:v>33.333333333333336</c:v>
                </c:pt>
                <c:pt idx="5">
                  <c:v>28.571428571428573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2E1E-7E4C-8357-B9E1AB860681}"/>
            </c:ext>
          </c:extLst>
        </c:ser>
        <c:ser>
          <c:idx val="2"/>
          <c:order val="2"/>
          <c:tx>
            <c:strRef>
              <c:f>'folha de calculos'!$N$138:$N$139</c:f>
              <c:strCache>
                <c:ptCount val="2"/>
                <c:pt idx="0">
                  <c:v>Obtenção de objetos de desfesa por faixas etárias</c:v>
                </c:pt>
                <c:pt idx="1">
                  <c:v>% sim</c:v>
                </c:pt>
              </c:strCache>
            </c:strRef>
          </c:tx>
          <c:spPr>
            <a:solidFill>
              <a:srgbClr val="1F3E7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calculos'!$K$140:$K$145</c:f>
              <c:strCache>
                <c:ptCount val="6"/>
                <c:pt idx="0">
                  <c:v>&lt;18</c:v>
                </c:pt>
                <c:pt idx="1">
                  <c:v>18-23</c:v>
                </c:pt>
                <c:pt idx="2">
                  <c:v>24-29</c:v>
                </c:pt>
                <c:pt idx="3">
                  <c:v>30-35</c:v>
                </c:pt>
                <c:pt idx="4">
                  <c:v>36-41</c:v>
                </c:pt>
                <c:pt idx="5">
                  <c:v>&gt;41</c:v>
                </c:pt>
              </c:strCache>
            </c:strRef>
          </c:cat>
          <c:val>
            <c:numRef>
              <c:f>'folha de calculos'!$N$140:$N$145</c:f>
              <c:numCache>
                <c:formatCode>0.0</c:formatCode>
                <c:ptCount val="6"/>
                <c:pt idx="0" formatCode="General">
                  <c:v>40</c:v>
                </c:pt>
                <c:pt idx="1">
                  <c:v>38.513513513513516</c:v>
                </c:pt>
                <c:pt idx="2" formatCode="General">
                  <c:v>40</c:v>
                </c:pt>
                <c:pt idx="3" formatCode="General">
                  <c:v>100</c:v>
                </c:pt>
                <c:pt idx="4">
                  <c:v>16.666666666666668</c:v>
                </c:pt>
                <c:pt idx="5">
                  <c:v>57.142857142857146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2E1E-7E4C-8357-B9E1AB860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38134558"/>
        <c:axId val="976345708"/>
      </c:barChart>
      <c:catAx>
        <c:axId val="8381345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1A1A1A"/>
                    </a:solidFill>
                    <a:latin typeface="+mn-lt"/>
                  </a:rPr>
                  <a:t>faixas etárias / objetos de defesa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976345708"/>
        <c:crosses val="autoZero"/>
        <c:auto val="1"/>
        <c:lblAlgn val="ctr"/>
        <c:lblOffset val="100"/>
        <c:noMultiLvlLbl val="1"/>
      </c:catAx>
      <c:valAx>
        <c:axId val="9763457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83813455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pt-PT" b="0">
                <a:solidFill>
                  <a:srgbClr val="838383"/>
                </a:solidFill>
                <a:latin typeface="+mn-lt"/>
              </a:rPr>
              <a:t>Percentagem de casos de assédio por faixas etárias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'folha de calculos'!$Q$128:$Q$129</c:f>
              <c:strCache>
                <c:ptCount val="2"/>
                <c:pt idx="0">
                  <c:v>Casos de assédio por faixas etárias</c:v>
                </c:pt>
                <c:pt idx="1">
                  <c:v>% de não</c:v>
                </c:pt>
              </c:strCache>
            </c:strRef>
          </c:tx>
          <c:spPr>
            <a:solidFill>
              <a:srgbClr val="1A998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calculos'!$P$130:$P$135</c:f>
              <c:strCache>
                <c:ptCount val="6"/>
                <c:pt idx="0">
                  <c:v>&lt;18</c:v>
                </c:pt>
                <c:pt idx="1">
                  <c:v>18-23</c:v>
                </c:pt>
                <c:pt idx="2">
                  <c:v>24-29</c:v>
                </c:pt>
                <c:pt idx="3">
                  <c:v>30-35</c:v>
                </c:pt>
                <c:pt idx="4">
                  <c:v>36-41</c:v>
                </c:pt>
                <c:pt idx="5">
                  <c:v>&gt;41</c:v>
                </c:pt>
              </c:strCache>
            </c:strRef>
          </c:cat>
          <c:val>
            <c:numRef>
              <c:f>'folha de calculos'!$Q$130:$Q$135</c:f>
              <c:numCache>
                <c:formatCode>0</c:formatCode>
                <c:ptCount val="6"/>
                <c:pt idx="0" formatCode="0.0">
                  <c:v>55.555555555555557</c:v>
                </c:pt>
                <c:pt idx="1">
                  <c:v>47.972972972972975</c:v>
                </c:pt>
                <c:pt idx="2">
                  <c:v>80</c:v>
                </c:pt>
                <c:pt idx="3">
                  <c:v>100</c:v>
                </c:pt>
                <c:pt idx="4" formatCode="0.0">
                  <c:v>33.333333333333336</c:v>
                </c:pt>
                <c:pt idx="5" formatCode="0.0">
                  <c:v>42.857142857142854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8B15-5B4B-9FFF-A397C444B19A}"/>
            </c:ext>
          </c:extLst>
        </c:ser>
        <c:ser>
          <c:idx val="1"/>
          <c:order val="1"/>
          <c:tx>
            <c:strRef>
              <c:f>'folha de calculos'!$R$128:$R$129</c:f>
              <c:strCache>
                <c:ptCount val="2"/>
                <c:pt idx="0">
                  <c:v>Casos de assédio por faixas etárias</c:v>
                </c:pt>
                <c:pt idx="1">
                  <c:v>% de sim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calculos'!$P$130:$P$135</c:f>
              <c:strCache>
                <c:ptCount val="6"/>
                <c:pt idx="0">
                  <c:v>&lt;18</c:v>
                </c:pt>
                <c:pt idx="1">
                  <c:v>18-23</c:v>
                </c:pt>
                <c:pt idx="2">
                  <c:v>24-29</c:v>
                </c:pt>
                <c:pt idx="3">
                  <c:v>30-35</c:v>
                </c:pt>
                <c:pt idx="4">
                  <c:v>36-41</c:v>
                </c:pt>
                <c:pt idx="5">
                  <c:v>&gt;41</c:v>
                </c:pt>
              </c:strCache>
            </c:strRef>
          </c:cat>
          <c:val>
            <c:numRef>
              <c:f>'folha de calculos'!$R$130:$R$135</c:f>
              <c:numCache>
                <c:formatCode>0.0</c:formatCode>
                <c:ptCount val="6"/>
                <c:pt idx="0">
                  <c:v>44.444444444444443</c:v>
                </c:pt>
                <c:pt idx="1">
                  <c:v>52.027027027027025</c:v>
                </c:pt>
                <c:pt idx="2" formatCode="0">
                  <c:v>20</c:v>
                </c:pt>
                <c:pt idx="3">
                  <c:v>0</c:v>
                </c:pt>
                <c:pt idx="4">
                  <c:v>66.666666666666671</c:v>
                </c:pt>
                <c:pt idx="5">
                  <c:v>57.142857142857146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8B15-5B4B-9FFF-A397C444B1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8227529"/>
        <c:axId val="707002812"/>
      </c:barChart>
      <c:catAx>
        <c:axId val="1428227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r>
                  <a:rPr lang="pt-PT" b="0">
                    <a:solidFill>
                      <a:srgbClr val="1A1A1A"/>
                    </a:solidFill>
                    <a:latin typeface="+mn-lt"/>
                  </a:rPr>
                  <a:t>faixas etárias / percentagem de casos de assédio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707002812"/>
        <c:crosses val="autoZero"/>
        <c:auto val="1"/>
        <c:lblAlgn val="ctr"/>
        <c:lblOffset val="100"/>
        <c:noMultiLvlLbl val="1"/>
      </c:catAx>
      <c:valAx>
        <c:axId val="7070028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142822752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pt-PT" b="0">
                <a:solidFill>
                  <a:srgbClr val="838383"/>
                </a:solidFill>
                <a:latin typeface="+mn-lt"/>
              </a:rPr>
              <a:t>Percentagem de meio mais utilizado no deslocamento noturno por distritos</a:t>
            </a:r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percentStacked"/>
        <c:varyColors val="1"/>
        <c:ser>
          <c:idx val="0"/>
          <c:order val="0"/>
          <c:tx>
            <c:v>Acompanhado a pé</c:v>
          </c:tx>
          <c:spPr>
            <a:solidFill>
              <a:srgbClr val="1A998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calculos'!$E$156:$E$168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calculos'!$F$156:$F$168</c:f>
              <c:numCache>
                <c:formatCode>0.0</c:formatCode>
                <c:ptCount val="13"/>
                <c:pt idx="0">
                  <c:v>15.384615384615385</c:v>
                </c:pt>
                <c:pt idx="1">
                  <c:v>25</c:v>
                </c:pt>
                <c:pt idx="2" formatCode="0">
                  <c:v>0</c:v>
                </c:pt>
                <c:pt idx="3" formatCode="0">
                  <c:v>0</c:v>
                </c:pt>
                <c:pt idx="4">
                  <c:v>53.225806451612904</c:v>
                </c:pt>
                <c:pt idx="5">
                  <c:v>100</c:v>
                </c:pt>
                <c:pt idx="6" formatCode="0">
                  <c:v>0</c:v>
                </c:pt>
                <c:pt idx="7" formatCode="0">
                  <c:v>0</c:v>
                </c:pt>
                <c:pt idx="8" formatCode="0">
                  <c:v>0</c:v>
                </c:pt>
                <c:pt idx="9">
                  <c:v>13.333333333333334</c:v>
                </c:pt>
                <c:pt idx="10">
                  <c:v>20</c:v>
                </c:pt>
                <c:pt idx="11">
                  <c:v>33.333333333333336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0C0-DA4A-ABCF-E4082FE3335B}"/>
            </c:ext>
          </c:extLst>
        </c:ser>
        <c:ser>
          <c:idx val="1"/>
          <c:order val="1"/>
          <c:tx>
            <c:v>Acompanhado de carro</c:v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calculos'!$E$156:$E$168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calculos'!$G$156:$G$168</c:f>
              <c:numCache>
                <c:formatCode>0.0</c:formatCode>
                <c:ptCount val="13"/>
                <c:pt idx="0">
                  <c:v>66.666666666666671</c:v>
                </c:pt>
                <c:pt idx="1">
                  <c:v>62.5</c:v>
                </c:pt>
                <c:pt idx="2" formatCode="0">
                  <c:v>100</c:v>
                </c:pt>
                <c:pt idx="3" formatCode="0">
                  <c:v>50</c:v>
                </c:pt>
                <c:pt idx="4">
                  <c:v>20.967741935483872</c:v>
                </c:pt>
                <c:pt idx="5" formatCode="0">
                  <c:v>0</c:v>
                </c:pt>
                <c:pt idx="6">
                  <c:v>66.666666666666671</c:v>
                </c:pt>
                <c:pt idx="7" formatCode="0">
                  <c:v>33.333333333333336</c:v>
                </c:pt>
                <c:pt idx="8">
                  <c:v>66.666666666666671</c:v>
                </c:pt>
                <c:pt idx="9">
                  <c:v>66.666666666666671</c:v>
                </c:pt>
                <c:pt idx="10">
                  <c:v>40</c:v>
                </c:pt>
                <c:pt idx="11">
                  <c:v>66.666666666666671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00C0-DA4A-ABCF-E4082FE3335B}"/>
            </c:ext>
          </c:extLst>
        </c:ser>
        <c:ser>
          <c:idx val="2"/>
          <c:order val="2"/>
          <c:tx>
            <c:v>Acompanhado de transportes públicos</c:v>
          </c:tx>
          <c:spPr>
            <a:solidFill>
              <a:srgbClr val="1F3E7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calculos'!$E$156:$E$168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calculos'!$H$156:$H$168</c:f>
              <c:numCache>
                <c:formatCode>General</c:formatCode>
                <c:ptCount val="13"/>
                <c:pt idx="0" formatCode="0.0">
                  <c:v>2.5641025641025643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11.290322580645162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 formatCode="0.0">
                  <c:v>14.285714285714286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00C0-DA4A-ABCF-E4082FE3335B}"/>
            </c:ext>
          </c:extLst>
        </c:ser>
        <c:ser>
          <c:idx val="3"/>
          <c:order val="3"/>
          <c:tx>
            <c:v>Sozinho a pé</c:v>
          </c:tx>
          <c:spPr>
            <a:solidFill>
              <a:srgbClr val="EB5600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calculos'!$E$156:$E$168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calculos'!$I$156:$I$168</c:f>
              <c:numCache>
                <c:formatCode>0.0</c:formatCode>
                <c:ptCount val="13"/>
                <c:pt idx="0">
                  <c:v>12.820512820512821</c:v>
                </c:pt>
                <c:pt idx="1">
                  <c:v>12.5</c:v>
                </c:pt>
                <c:pt idx="2" formatCode="0">
                  <c:v>0</c:v>
                </c:pt>
                <c:pt idx="3">
                  <c:v>50</c:v>
                </c:pt>
                <c:pt idx="4">
                  <c:v>8.064516129032258</c:v>
                </c:pt>
                <c:pt idx="5" formatCode="0">
                  <c:v>0</c:v>
                </c:pt>
                <c:pt idx="6">
                  <c:v>33.333333333333336</c:v>
                </c:pt>
                <c:pt idx="7" formatCode="0">
                  <c:v>0</c:v>
                </c:pt>
                <c:pt idx="8">
                  <c:v>14.285714285714286</c:v>
                </c:pt>
                <c:pt idx="9">
                  <c:v>2.2222222222222223</c:v>
                </c:pt>
                <c:pt idx="10" formatCode="0">
                  <c:v>0</c:v>
                </c:pt>
                <c:pt idx="11" formatCode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3-00C0-DA4A-ABCF-E4082FE3335B}"/>
            </c:ext>
          </c:extLst>
        </c:ser>
        <c:ser>
          <c:idx val="4"/>
          <c:order val="4"/>
          <c:tx>
            <c:v>Sozinho de carro</c:v>
          </c:tx>
          <c:spPr>
            <a:solidFill>
              <a:srgbClr val="FF99A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calculos'!$E$156:$E$168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calculos'!$J$156:$J$168</c:f>
              <c:numCache>
                <c:formatCode>General</c:formatCode>
                <c:ptCount val="13"/>
                <c:pt idx="0" formatCode="0.0">
                  <c:v>2.5641025641025643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3.225806451612903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 formatCode="0.0">
                  <c:v>17.777777777777779</c:v>
                </c:pt>
                <c:pt idx="10" formatCode="0.0">
                  <c:v>40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4-00C0-DA4A-ABCF-E4082FE3335B}"/>
            </c:ext>
          </c:extLst>
        </c:ser>
        <c:ser>
          <c:idx val="5"/>
          <c:order val="5"/>
          <c:tx>
            <c:v>Sozinho de transporte público</c:v>
          </c:tx>
          <c:spPr>
            <a:solidFill>
              <a:srgbClr val="FFD4B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calculos'!$E$156:$E$168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calculos'!$K$156:$K$168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0.0">
                  <c:v>3.225806451612903</c:v>
                </c:pt>
                <c:pt idx="5">
                  <c:v>0</c:v>
                </c:pt>
                <c:pt idx="6">
                  <c:v>0</c:v>
                </c:pt>
                <c:pt idx="7" formatCode="0.0">
                  <c:v>66.666666666666671</c:v>
                </c:pt>
                <c:pt idx="8" formatCode="0.0">
                  <c:v>4.7619047619047619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5-00C0-DA4A-ABCF-E4082FE33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41814531"/>
        <c:axId val="1972575537"/>
        <c:axId val="0"/>
      </c:bar3DChart>
      <c:catAx>
        <c:axId val="941814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1972575537"/>
        <c:crosses val="autoZero"/>
        <c:auto val="1"/>
        <c:lblAlgn val="ctr"/>
        <c:lblOffset val="100"/>
        <c:noMultiLvlLbl val="1"/>
      </c:catAx>
      <c:valAx>
        <c:axId val="1972575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941814531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pt-PT" b="0">
                <a:solidFill>
                  <a:srgbClr val="838383"/>
                </a:solidFill>
                <a:latin typeface="+mn-lt"/>
              </a:rPr>
              <a:t>Percentagem de medo ao sair sozinho à noite por distrito</a:t>
            </a:r>
          </a:p>
        </c:rich>
      </c:tx>
      <c:layout/>
      <c:overlay val="0"/>
    </c:title>
    <c:autoTitleDeleted val="0"/>
    <c:view3D>
      <c:rotX val="15"/>
      <c:rotY val="20"/>
      <c:depthPercent val="10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1"/>
        <c:ser>
          <c:idx val="0"/>
          <c:order val="0"/>
          <c:tx>
            <c:strRef>
              <c:f>'folha de calculos'!$R$138:$R$139</c:f>
              <c:strCache>
                <c:ptCount val="2"/>
                <c:pt idx="0">
                  <c:v>Medo de sair à noite por distrito</c:v>
                </c:pt>
                <c:pt idx="1">
                  <c:v>% Não</c:v>
                </c:pt>
              </c:strCache>
            </c:strRef>
          </c:tx>
          <c:spPr>
            <a:solidFill>
              <a:srgbClr val="1A998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calculos'!$Q$140:$Q$151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calculos'!$R$140:$R$151</c:f>
              <c:numCache>
                <c:formatCode>0.0</c:formatCode>
                <c:ptCount val="12"/>
                <c:pt idx="0">
                  <c:v>43.589743589743591</c:v>
                </c:pt>
                <c:pt idx="1">
                  <c:v>85.714285714285708</c:v>
                </c:pt>
                <c:pt idx="2" formatCode="0">
                  <c:v>100</c:v>
                </c:pt>
                <c:pt idx="3" formatCode="0">
                  <c:v>50</c:v>
                </c:pt>
                <c:pt idx="4" formatCode="0">
                  <c:v>35</c:v>
                </c:pt>
                <c:pt idx="5" formatCode="0">
                  <c:v>0</c:v>
                </c:pt>
                <c:pt idx="6">
                  <c:v>33.333333333333336</c:v>
                </c:pt>
                <c:pt idx="7">
                  <c:v>33.333333333333336</c:v>
                </c:pt>
                <c:pt idx="8">
                  <c:v>28.571428571428573</c:v>
                </c:pt>
                <c:pt idx="9">
                  <c:v>66.666666666666671</c:v>
                </c:pt>
                <c:pt idx="10" formatCode="0">
                  <c:v>80</c:v>
                </c:pt>
                <c:pt idx="11">
                  <c:v>33.333333333333336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8A0-2947-B23F-3B70A1741A22}"/>
            </c:ext>
          </c:extLst>
        </c:ser>
        <c:ser>
          <c:idx val="1"/>
          <c:order val="1"/>
          <c:tx>
            <c:strRef>
              <c:f>'folha de calculos'!$S$138:$S$139</c:f>
              <c:strCache>
                <c:ptCount val="2"/>
                <c:pt idx="0">
                  <c:v>Medo de sair à noite por distrito</c:v>
                </c:pt>
                <c:pt idx="1">
                  <c:v>% Sim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calculos'!$Q$140:$Q$151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calculos'!$S$140:$S$151</c:f>
              <c:numCache>
                <c:formatCode>0.0</c:formatCode>
                <c:ptCount val="12"/>
                <c:pt idx="0">
                  <c:v>56.410256410256409</c:v>
                </c:pt>
                <c:pt idx="1">
                  <c:v>14.285714285714286</c:v>
                </c:pt>
                <c:pt idx="2" formatCode="0">
                  <c:v>0</c:v>
                </c:pt>
                <c:pt idx="3" formatCode="0">
                  <c:v>50</c:v>
                </c:pt>
                <c:pt idx="4" formatCode="0">
                  <c:v>65</c:v>
                </c:pt>
                <c:pt idx="5" formatCode="0">
                  <c:v>100</c:v>
                </c:pt>
                <c:pt idx="6">
                  <c:v>66.666666666666671</c:v>
                </c:pt>
                <c:pt idx="7">
                  <c:v>66.666666666666671</c:v>
                </c:pt>
                <c:pt idx="8">
                  <c:v>71.428571428571431</c:v>
                </c:pt>
                <c:pt idx="9">
                  <c:v>33.333333333333336</c:v>
                </c:pt>
                <c:pt idx="10" formatCode="0">
                  <c:v>20</c:v>
                </c:pt>
                <c:pt idx="11">
                  <c:v>66.666666666666671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8A0-2947-B23F-3B70A1741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12436654"/>
        <c:axId val="1976305523"/>
        <c:axId val="0"/>
      </c:bar3DChart>
      <c:catAx>
        <c:axId val="17124366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1976305523"/>
        <c:crosses val="autoZero"/>
        <c:auto val="1"/>
        <c:lblAlgn val="ctr"/>
        <c:lblOffset val="100"/>
        <c:noMultiLvlLbl val="1"/>
      </c:catAx>
      <c:valAx>
        <c:axId val="1976305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171243665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38383"/>
                </a:solidFill>
                <a:latin typeface="+mn-lt"/>
              </a:defRPr>
            </a:pPr>
            <a:r>
              <a:rPr lang="pt-PT" b="0">
                <a:solidFill>
                  <a:srgbClr val="838383"/>
                </a:solidFill>
                <a:latin typeface="+mn-lt"/>
              </a:rPr>
              <a:t>Percentagem de obtenção de objetos de defesa por distritos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stacked"/>
        <c:varyColors val="1"/>
        <c:ser>
          <c:idx val="0"/>
          <c:order val="0"/>
          <c:tx>
            <c:strRef>
              <c:f>'folha de calculos'!$U$154:$U$155</c:f>
              <c:strCache>
                <c:ptCount val="2"/>
                <c:pt idx="0">
                  <c:v>Obtenção de objetos de defesa por distritos</c:v>
                </c:pt>
                <c:pt idx="1">
                  <c:v>% de não</c:v>
                </c:pt>
              </c:strCache>
            </c:strRef>
          </c:tx>
          <c:spPr>
            <a:solidFill>
              <a:srgbClr val="1A998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calculos'!$T$156:$T$167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calculos'!$U$156:$U$167</c:f>
              <c:numCache>
                <c:formatCode>0.0</c:formatCode>
                <c:ptCount val="12"/>
                <c:pt idx="0">
                  <c:v>17.948717948717949</c:v>
                </c:pt>
                <c:pt idx="1">
                  <c:v>37.5</c:v>
                </c:pt>
                <c:pt idx="2" formatCode="0">
                  <c:v>0</c:v>
                </c:pt>
                <c:pt idx="3" formatCode="0">
                  <c:v>0</c:v>
                </c:pt>
                <c:pt idx="4">
                  <c:v>20.967741935483872</c:v>
                </c:pt>
                <c:pt idx="5" formatCode="0">
                  <c:v>0</c:v>
                </c:pt>
                <c:pt idx="6" formatCode="0">
                  <c:v>0</c:v>
                </c:pt>
                <c:pt idx="7" formatCode="0">
                  <c:v>0</c:v>
                </c:pt>
                <c:pt idx="8">
                  <c:v>23.80952380952381</c:v>
                </c:pt>
                <c:pt idx="9">
                  <c:v>33.333333333333336</c:v>
                </c:pt>
                <c:pt idx="10" formatCode="0">
                  <c:v>20</c:v>
                </c:pt>
                <c:pt idx="11">
                  <c:v>33.333333333333336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3FCD-EF4E-91AD-DC04D9F0C2FF}"/>
            </c:ext>
          </c:extLst>
        </c:ser>
        <c:ser>
          <c:idx val="1"/>
          <c:order val="1"/>
          <c:tx>
            <c:strRef>
              <c:f>'folha de calculos'!$V$154:$V$155</c:f>
              <c:strCache>
                <c:ptCount val="2"/>
                <c:pt idx="0">
                  <c:v>Obtenção de objetos de defesa por distritos</c:v>
                </c:pt>
                <c:pt idx="1">
                  <c:v>% de nunca pensei sobre isso</c:v>
                </c:pt>
              </c:strCache>
            </c:strRef>
          </c:tx>
          <c:spPr>
            <a:solidFill>
              <a:srgbClr val="3C78D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calculos'!$T$156:$T$167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calculos'!$V$156:$V$167</c:f>
              <c:numCache>
                <c:formatCode>0.0</c:formatCode>
                <c:ptCount val="12"/>
                <c:pt idx="0">
                  <c:v>51.282051282051285</c:v>
                </c:pt>
                <c:pt idx="1">
                  <c:v>37.5</c:v>
                </c:pt>
                <c:pt idx="2" formatCode="0">
                  <c:v>0</c:v>
                </c:pt>
                <c:pt idx="3" formatCode="0">
                  <c:v>100</c:v>
                </c:pt>
                <c:pt idx="4">
                  <c:v>32.258064516129032</c:v>
                </c:pt>
                <c:pt idx="5" formatCode="0">
                  <c:v>100</c:v>
                </c:pt>
                <c:pt idx="6">
                  <c:v>33.333333333333336</c:v>
                </c:pt>
                <c:pt idx="7">
                  <c:v>33.333333333333336</c:v>
                </c:pt>
                <c:pt idx="8">
                  <c:v>28.571428571428573</c:v>
                </c:pt>
                <c:pt idx="9">
                  <c:v>35.555555555555557</c:v>
                </c:pt>
                <c:pt idx="10">
                  <c:v>60</c:v>
                </c:pt>
                <c:pt idx="11" formatCode="0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3FCD-EF4E-91AD-DC04D9F0C2FF}"/>
            </c:ext>
          </c:extLst>
        </c:ser>
        <c:ser>
          <c:idx val="2"/>
          <c:order val="2"/>
          <c:tx>
            <c:strRef>
              <c:f>'folha de calculos'!$W$154:$W$155</c:f>
              <c:strCache>
                <c:ptCount val="2"/>
                <c:pt idx="0">
                  <c:v>Obtenção de objetos de defesa por distritos</c:v>
                </c:pt>
                <c:pt idx="1">
                  <c:v>% de nunca pensei sobre isso</c:v>
                </c:pt>
              </c:strCache>
            </c:strRef>
          </c:tx>
          <c:spPr>
            <a:solidFill>
              <a:srgbClr val="1F3E78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'folha de calculos'!$T$156:$T$167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calculos'!$W$156:$W$167</c:f>
              <c:numCache>
                <c:formatCode>General</c:formatCode>
                <c:ptCount val="1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3FCD-EF4E-91AD-DC04D9F0C2FF}"/>
            </c:ext>
          </c:extLst>
        </c:ser>
        <c:ser>
          <c:idx val="3"/>
          <c:order val="3"/>
          <c:tx>
            <c:strRef>
              <c:f>'folha de calculos'!$X$154:$X$155</c:f>
              <c:strCache>
                <c:ptCount val="2"/>
                <c:pt idx="0">
                  <c:v>Obtenção de objetos de defesa por distritos</c:v>
                </c:pt>
                <c:pt idx="1">
                  <c:v>% de sim</c:v>
                </c:pt>
              </c:strCache>
            </c:strRef>
          </c:tx>
          <c:invertIfNegative val="1"/>
          <c:cat>
            <c:strRef>
              <c:f>'folha de calculos'!$T$156:$T$167</c:f>
              <c:strCache>
                <c:ptCount val="12"/>
                <c:pt idx="0">
                  <c:v>Aveiro</c:v>
                </c:pt>
                <c:pt idx="1">
                  <c:v>Braga</c:v>
                </c:pt>
                <c:pt idx="2">
                  <c:v>Bragança</c:v>
                </c:pt>
                <c:pt idx="3">
                  <c:v>Castelo Branco</c:v>
                </c:pt>
                <c:pt idx="4">
                  <c:v>Coimbra</c:v>
                </c:pt>
                <c:pt idx="5">
                  <c:v>Faro</c:v>
                </c:pt>
                <c:pt idx="6">
                  <c:v>Leiria</c:v>
                </c:pt>
                <c:pt idx="7">
                  <c:v>Lisboa</c:v>
                </c:pt>
                <c:pt idx="8">
                  <c:v>Porto</c:v>
                </c:pt>
                <c:pt idx="9">
                  <c:v>Viana do Castelo</c:v>
                </c:pt>
                <c:pt idx="10">
                  <c:v>Vila Real</c:v>
                </c:pt>
                <c:pt idx="11">
                  <c:v>Viseu</c:v>
                </c:pt>
              </c:strCache>
            </c:strRef>
          </c:cat>
          <c:val>
            <c:numRef>
              <c:f>'folha de calculos'!$X$156:$X$167</c:f>
              <c:numCache>
                <c:formatCode>0</c:formatCode>
                <c:ptCount val="12"/>
                <c:pt idx="0" formatCode="0.0">
                  <c:v>30.76923076923077</c:v>
                </c:pt>
                <c:pt idx="1">
                  <c:v>25</c:v>
                </c:pt>
                <c:pt idx="2">
                  <c:v>100</c:v>
                </c:pt>
                <c:pt idx="3">
                  <c:v>0</c:v>
                </c:pt>
                <c:pt idx="4" formatCode="0.0">
                  <c:v>46.774193548387096</c:v>
                </c:pt>
                <c:pt idx="5">
                  <c:v>0</c:v>
                </c:pt>
                <c:pt idx="6" formatCode="0.0">
                  <c:v>66.666666666666671</c:v>
                </c:pt>
                <c:pt idx="7" formatCode="0.0">
                  <c:v>66.666666666666671</c:v>
                </c:pt>
                <c:pt idx="8" formatCode="0.0">
                  <c:v>47.61904761904762</c:v>
                </c:pt>
                <c:pt idx="9" formatCode="0.0">
                  <c:v>31.111111111111111</c:v>
                </c:pt>
                <c:pt idx="10">
                  <c:v>20</c:v>
                </c:pt>
                <c:pt idx="11" formatCode="0.0">
                  <c:v>66.666666666666671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CD-EF4E-91AD-DC04D9F0C2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9012709"/>
        <c:axId val="1874592212"/>
      </c:barChart>
      <c:catAx>
        <c:axId val="2390127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1874592212"/>
        <c:crosses val="autoZero"/>
        <c:auto val="1"/>
        <c:lblAlgn val="ctr"/>
        <c:lblOffset val="100"/>
        <c:noMultiLvlLbl val="1"/>
      </c:catAx>
      <c:valAx>
        <c:axId val="18745922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1A1A1A"/>
                    </a:solidFill>
                    <a:latin typeface="+mn-lt"/>
                  </a:defRPr>
                </a:pPr>
                <a:endParaRPr lang="pt-PT"/>
              </a:p>
            </c:rich>
          </c:tx>
          <c:layout/>
          <c:overlay val="0"/>
        </c:title>
        <c:numFmt formatCode="0.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1A1A1A"/>
                </a:solidFill>
                <a:latin typeface="+mn-lt"/>
              </a:defRPr>
            </a:pPr>
            <a:endParaRPr lang="pt-PT"/>
          </a:p>
        </c:txPr>
        <c:crossAx val="23901270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313131"/>
              </a:solidFill>
              <a:latin typeface="+mn-lt"/>
            </a:defRPr>
          </a:pPr>
          <a:endParaRPr lang="pt-PT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4791075" cy="30003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171450</xdr:colOff>
      <xdr:row>17</xdr:row>
      <xdr:rowOff>180975</xdr:rowOff>
    </xdr:from>
    <xdr:ext cx="4619625" cy="3000375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5</xdr:col>
      <xdr:colOff>942975</xdr:colOff>
      <xdr:row>17</xdr:row>
      <xdr:rowOff>190500</xdr:rowOff>
    </xdr:from>
    <xdr:ext cx="4819650" cy="300037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12</xdr:col>
      <xdr:colOff>0</xdr:colOff>
      <xdr:row>17</xdr:row>
      <xdr:rowOff>180975</xdr:rowOff>
    </xdr:from>
    <xdr:ext cx="4791075" cy="300037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18</xdr:col>
      <xdr:colOff>0</xdr:colOff>
      <xdr:row>17</xdr:row>
      <xdr:rowOff>180975</xdr:rowOff>
    </xdr:from>
    <xdr:ext cx="4819650" cy="300037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0</xdr:col>
      <xdr:colOff>171450</xdr:colOff>
      <xdr:row>35</xdr:row>
      <xdr:rowOff>0</xdr:rowOff>
    </xdr:from>
    <xdr:ext cx="4619625" cy="3000375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6</xdr:col>
      <xdr:colOff>0</xdr:colOff>
      <xdr:row>51</xdr:row>
      <xdr:rowOff>190500</xdr:rowOff>
    </xdr:from>
    <xdr:ext cx="4791075" cy="3000375"/>
    <xdr:graphicFrame macro="">
      <xdr:nvGraphicFramePr>
        <xdr:cNvPr id="8" name="Chart 7" title="Gráfico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 fLocksWithSheet="0"/>
  </xdr:oneCellAnchor>
  <xdr:oneCellAnchor>
    <xdr:from>
      <xdr:col>18</xdr:col>
      <xdr:colOff>0</xdr:colOff>
      <xdr:row>52</xdr:row>
      <xdr:rowOff>0</xdr:rowOff>
    </xdr:from>
    <xdr:ext cx="4819650" cy="3000375"/>
    <xdr:graphicFrame macro="">
      <xdr:nvGraphicFramePr>
        <xdr:cNvPr id="9" name="Chart 8" title="Gráfico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 fLocksWithSheet="0"/>
  </xdr:oneCellAnchor>
  <xdr:oneCellAnchor>
    <xdr:from>
      <xdr:col>0</xdr:col>
      <xdr:colOff>114300</xdr:colOff>
      <xdr:row>68</xdr:row>
      <xdr:rowOff>180975</xdr:rowOff>
    </xdr:from>
    <xdr:ext cx="4676775" cy="3048000"/>
    <xdr:graphicFrame macro="">
      <xdr:nvGraphicFramePr>
        <xdr:cNvPr id="10" name="Chart 9" title="Gráfico">
          <a:extLst>
            <a:ext uri="{FF2B5EF4-FFF2-40B4-BE49-F238E27FC236}">
              <a16:creationId xmlns:a16="http://schemas.microsoft.com/office/drawing/2014/main" id="{00000000-0008-0000-04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 fLocksWithSheet="0"/>
  </xdr:oneCellAnchor>
  <xdr:oneCellAnchor>
    <xdr:from>
      <xdr:col>6</xdr:col>
      <xdr:colOff>9525</xdr:colOff>
      <xdr:row>68</xdr:row>
      <xdr:rowOff>180975</xdr:rowOff>
    </xdr:from>
    <xdr:ext cx="4781550" cy="3000375"/>
    <xdr:graphicFrame macro="">
      <xdr:nvGraphicFramePr>
        <xdr:cNvPr id="11" name="Chart 10" title="Gráfico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 fLocksWithSheet="0"/>
  </xdr:oneCellAnchor>
  <xdr:oneCellAnchor>
    <xdr:from>
      <xdr:col>11</xdr:col>
      <xdr:colOff>952500</xdr:colOff>
      <xdr:row>69</xdr:row>
      <xdr:rowOff>9525</xdr:rowOff>
    </xdr:from>
    <xdr:ext cx="4819650" cy="2952750"/>
    <xdr:graphicFrame macro="">
      <xdr:nvGraphicFramePr>
        <xdr:cNvPr id="12" name="Chart 11" title="Gráfico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 fLocksWithSheet="0"/>
  </xdr:oneCellAnchor>
  <xdr:oneCellAnchor>
    <xdr:from>
      <xdr:col>17</xdr:col>
      <xdr:colOff>952500</xdr:colOff>
      <xdr:row>68</xdr:row>
      <xdr:rowOff>180975</xdr:rowOff>
    </xdr:from>
    <xdr:ext cx="4819650" cy="3000375"/>
    <xdr:graphicFrame macro="">
      <xdr:nvGraphicFramePr>
        <xdr:cNvPr id="13" name="Chart 12" title="Gráfico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 fLocksWithSheet="0"/>
  </xdr:oneCellAnchor>
  <xdr:oneCellAnchor>
    <xdr:from>
      <xdr:col>5</xdr:col>
      <xdr:colOff>942975</xdr:colOff>
      <xdr:row>86</xdr:row>
      <xdr:rowOff>0</xdr:rowOff>
    </xdr:from>
    <xdr:ext cx="4819650" cy="3000375"/>
    <xdr:graphicFrame macro="">
      <xdr:nvGraphicFramePr>
        <xdr:cNvPr id="14" name="Chart 13" title="Gráfico">
          <a:extLst>
            <a:ext uri="{FF2B5EF4-FFF2-40B4-BE49-F238E27FC236}">
              <a16:creationId xmlns:a16="http://schemas.microsoft.com/office/drawing/2014/main" id="{00000000-0008-0000-04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 fLocksWithSheet="0"/>
  </xdr:oneCellAnchor>
  <xdr:oneCellAnchor>
    <xdr:from>
      <xdr:col>11</xdr:col>
      <xdr:colOff>952500</xdr:colOff>
      <xdr:row>85</xdr:row>
      <xdr:rowOff>180975</xdr:rowOff>
    </xdr:from>
    <xdr:ext cx="4819650" cy="3000375"/>
    <xdr:graphicFrame macro="">
      <xdr:nvGraphicFramePr>
        <xdr:cNvPr id="15" name="Chart 14" title="Gráfico">
          <a:extLst>
            <a:ext uri="{FF2B5EF4-FFF2-40B4-BE49-F238E27FC236}">
              <a16:creationId xmlns:a16="http://schemas.microsoft.com/office/drawing/2014/main" id="{00000000-0008-0000-04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 fLocksWithSheet="0"/>
  </xdr:oneCellAnchor>
  <xdr:oneCellAnchor>
    <xdr:from>
      <xdr:col>6</xdr:col>
      <xdr:colOff>9525</xdr:colOff>
      <xdr:row>34</xdr:row>
      <xdr:rowOff>180975</xdr:rowOff>
    </xdr:from>
    <xdr:ext cx="4781550" cy="3000375"/>
    <xdr:graphicFrame macro="">
      <xdr:nvGraphicFramePr>
        <xdr:cNvPr id="16" name="Chart 15" title="Gráfico">
          <a:extLst>
            <a:ext uri="{FF2B5EF4-FFF2-40B4-BE49-F238E27FC236}">
              <a16:creationId xmlns:a16="http://schemas.microsoft.com/office/drawing/2014/main" id="{00000000-0008-0000-04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 fLocksWithSheet="0"/>
  </xdr:oneCellAnchor>
  <xdr:oneCellAnchor>
    <xdr:from>
      <xdr:col>11</xdr:col>
      <xdr:colOff>952500</xdr:colOff>
      <xdr:row>34</xdr:row>
      <xdr:rowOff>190500</xdr:rowOff>
    </xdr:from>
    <xdr:ext cx="4819650" cy="3000375"/>
    <xdr:graphicFrame macro="">
      <xdr:nvGraphicFramePr>
        <xdr:cNvPr id="17" name="Chart 16" title="Gráfico">
          <a:extLst>
            <a:ext uri="{FF2B5EF4-FFF2-40B4-BE49-F238E27FC236}">
              <a16:creationId xmlns:a16="http://schemas.microsoft.com/office/drawing/2014/main" id="{00000000-0008-0000-04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 fLocksWithSheet="0"/>
  </xdr:oneCellAnchor>
  <xdr:oneCellAnchor>
    <xdr:from>
      <xdr:col>17</xdr:col>
      <xdr:colOff>923925</xdr:colOff>
      <xdr:row>34</xdr:row>
      <xdr:rowOff>180975</xdr:rowOff>
    </xdr:from>
    <xdr:ext cx="4857750" cy="3000375"/>
    <xdr:graphicFrame macro="">
      <xdr:nvGraphicFramePr>
        <xdr:cNvPr id="18" name="Chart 17" title="Gráfico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 fLocksWithSheet="0"/>
  </xdr:oneCellAnchor>
  <xdr:oneCellAnchor>
    <xdr:from>
      <xdr:col>17</xdr:col>
      <xdr:colOff>838200</xdr:colOff>
      <xdr:row>85</xdr:row>
      <xdr:rowOff>161925</xdr:rowOff>
    </xdr:from>
    <xdr:ext cx="4981575" cy="3048000"/>
    <xdr:graphicFrame macro="">
      <xdr:nvGraphicFramePr>
        <xdr:cNvPr id="19" name="Chart 18" title="Gráfico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 fLocksWithSheet="0"/>
  </xdr:oneCellAnchor>
  <xdr:oneCellAnchor>
    <xdr:from>
      <xdr:col>0</xdr:col>
      <xdr:colOff>133350</xdr:colOff>
      <xdr:row>86</xdr:row>
      <xdr:rowOff>9525</xdr:rowOff>
    </xdr:from>
    <xdr:ext cx="4724400" cy="3048000"/>
    <xdr:graphicFrame macro="">
      <xdr:nvGraphicFramePr>
        <xdr:cNvPr id="20" name="Chart 19" title="Gráfico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 fLocksWithSheet="0"/>
  </xdr:oneCellAnchor>
  <xdr:oneCellAnchor>
    <xdr:from>
      <xdr:col>0</xdr:col>
      <xdr:colOff>200025</xdr:colOff>
      <xdr:row>52</xdr:row>
      <xdr:rowOff>47625</xdr:rowOff>
    </xdr:from>
    <xdr:ext cx="4591050" cy="2952750"/>
    <xdr:graphicFrame macro="">
      <xdr:nvGraphicFramePr>
        <xdr:cNvPr id="21" name="Chart 20" title="Gráfico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 fLocksWithSheet="0"/>
  </xdr:oneCellAnchor>
  <xdr:oneCellAnchor>
    <xdr:from>
      <xdr:col>11</xdr:col>
      <xdr:colOff>962025</xdr:colOff>
      <xdr:row>51</xdr:row>
      <xdr:rowOff>200025</xdr:rowOff>
    </xdr:from>
    <xdr:ext cx="4819650" cy="3000375"/>
    <xdr:graphicFrame macro="">
      <xdr:nvGraphicFramePr>
        <xdr:cNvPr id="22" name="Chart 21" title="Gráfico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 fLocksWithSheet="0"/>
  </xdr:oneCellAnchor>
  <xdr:oneCellAnchor>
    <xdr:from>
      <xdr:col>0</xdr:col>
      <xdr:colOff>133350</xdr:colOff>
      <xdr:row>103</xdr:row>
      <xdr:rowOff>190500</xdr:rowOff>
    </xdr:from>
    <xdr:ext cx="4724400" cy="3048000"/>
    <xdr:graphicFrame macro="">
      <xdr:nvGraphicFramePr>
        <xdr:cNvPr id="23" name="Chart 22" title="Gráfico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 fLocksWithSheet="0"/>
  </xdr:oneCellAnchor>
  <xdr:oneCellAnchor>
    <xdr:from>
      <xdr:col>0</xdr:col>
      <xdr:colOff>180975</xdr:colOff>
      <xdr:row>0</xdr:row>
      <xdr:rowOff>161925</xdr:rowOff>
    </xdr:from>
    <xdr:ext cx="4619625" cy="3000375"/>
    <xdr:graphicFrame macro="">
      <xdr:nvGraphicFramePr>
        <xdr:cNvPr id="24" name="Chart 23" title="Gráfico">
          <a:extLst>
            <a:ext uri="{FF2B5EF4-FFF2-40B4-BE49-F238E27FC236}">
              <a16:creationId xmlns:a16="http://schemas.microsoft.com/office/drawing/2014/main" id="{00000000-0008-0000-04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 fLocksWithSheet="0"/>
  </xdr:oneCellAnchor>
  <xdr:oneCellAnchor>
    <xdr:from>
      <xdr:col>11</xdr:col>
      <xdr:colOff>952500</xdr:colOff>
      <xdr:row>0</xdr:row>
      <xdr:rowOff>171450</xdr:rowOff>
    </xdr:from>
    <xdr:ext cx="4819650" cy="3028950"/>
    <xdr:graphicFrame macro="">
      <xdr:nvGraphicFramePr>
        <xdr:cNvPr id="25" name="Chart 24" title="Gráfico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 fLocksWithSheet="0"/>
  </xdr:oneCellAnchor>
  <xdr:oneCellAnchor>
    <xdr:from>
      <xdr:col>18</xdr:col>
      <xdr:colOff>38100</xdr:colOff>
      <xdr:row>0</xdr:row>
      <xdr:rowOff>180975</xdr:rowOff>
    </xdr:from>
    <xdr:ext cx="4819650" cy="3000375"/>
    <xdr:graphicFrame macro="">
      <xdr:nvGraphicFramePr>
        <xdr:cNvPr id="26" name="Chart 25" title="Gráfico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oao Orvalho" refreshedDate="44679.539768865739" refreshedVersion="6" recordCount="212">
  <cacheSource type="worksheet">
    <worksheetSource ref="A1:Q213" sheet="Dados excel"/>
  </cacheSource>
  <cacheFields count="17">
    <cacheField name="Carimbo de data/hora" numFmtId="4">
      <sharedItems containsSemiMixedTypes="0" containsString="0" containsNumber="1" minValue="44522.965223946754" maxValue="44528.83"/>
    </cacheField>
    <cacheField name="Endereço de email" numFmtId="4">
      <sharedItems containsNonDate="0" containsString="0" containsBlank="1"/>
    </cacheField>
    <cacheField name="Com que género se identifica?" numFmtId="4">
      <sharedItems count="3">
        <s v="Feminino"/>
        <s v="Masculino"/>
        <s v="Outro"/>
      </sharedItems>
    </cacheField>
    <cacheField name="Qual a sua faixa etária?" numFmtId="4">
      <sharedItems count="6">
        <s v="18-23"/>
        <s v="&lt;18"/>
        <s v="&gt;41"/>
        <s v="36-41"/>
        <s v="24-29"/>
        <s v="30-35"/>
      </sharedItems>
    </cacheField>
    <cacheField name="Costuma sair à noite?" numFmtId="4">
      <sharedItems count="2">
        <s v="Sim"/>
        <s v="Não"/>
      </sharedItems>
    </cacheField>
    <cacheField name="Se sim, em que distrito? (o mais frequente)" numFmtId="4">
      <sharedItems containsBlank="1" count="13">
        <s v="Aveiro"/>
        <s v="Porto"/>
        <s v="Coimbra"/>
        <s v="Viana do Castelo"/>
        <s v="Bragança"/>
        <m/>
        <s v="Braga"/>
        <s v="Lisboa"/>
        <s v="Vila Real"/>
        <s v="Viseu"/>
        <s v="Castelo Branco"/>
        <s v="Leiria"/>
        <s v="Faro"/>
      </sharedItems>
    </cacheField>
    <cacheField name="Com que frequência?" numFmtId="4">
      <sharedItems containsBlank="1" count="5">
        <s v="1-2 vezes por semana"/>
        <s v="1-2 vezes por mês"/>
        <s v="Raramente saio"/>
        <s v="Quase todos os dias"/>
        <m/>
      </sharedItems>
    </cacheField>
    <cacheField name="Como se desloca quando sai à noite? ( escolha o mais frequente)" numFmtId="4">
      <sharedItems containsBlank="1"/>
    </cacheField>
    <cacheField name="Se já alguma vez se deslocou sozinh@ ,sentiu medo?" numFmtId="4">
      <sharedItems containsBlank="1"/>
    </cacheField>
    <cacheField name="Se respondeu &quot;Sim&quot; na pergunta anterior, como procedeu?" numFmtId="4">
      <sharedItems containsBlank="1"/>
    </cacheField>
    <cacheField name="Tem ou pretende ter objetos de defesa?" numFmtId="4">
      <sharedItems count="3">
        <s v="Nunca pensei sobre isso"/>
        <s v="Não"/>
        <s v="Sim"/>
      </sharedItems>
    </cacheField>
    <cacheField name="Alguma vez foi vítima de assédio?" numFmtId="4">
      <sharedItems count="2">
        <s v="Sim"/>
        <s v="Não"/>
      </sharedItems>
    </cacheField>
    <cacheField name="Se respondeu &quot;Sim&quot;, alguém o ajudou ou conseguiu fugir?" numFmtId="4">
      <sharedItems containsBlank="1"/>
    </cacheField>
    <cacheField name="Quando sai à noite, como é que se sente?" numFmtId="4">
      <sharedItems count="3">
        <s v="Pouco seguro"/>
        <s v="Seguro"/>
        <s v="Muito seguro"/>
      </sharedItems>
    </cacheField>
    <cacheField name="Se respondeu &quot;Pouco seguro&quot;, refira porquê." numFmtId="4">
      <sharedItems containsBlank="1"/>
    </cacheField>
    <cacheField name="Como se sente à noite na rua desde a abertura das restrições a 1 de outubro em comparação com o pré-pandemia?" numFmtId="4">
      <sharedItems count="3">
        <s v="Igualmente seguro"/>
        <s v="Menos seguro"/>
        <s v="Mais seguro"/>
      </sharedItems>
    </cacheField>
    <cacheField name="Tendo em conta o anonimato do inquérito, caso se sinta confortável, partilhe um episódio negativo da sua vivência na vida noturna." numFmtId="4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">
  <r>
    <n v="44523.433120567133"/>
    <m/>
    <x v="0"/>
    <x v="0"/>
    <x v="0"/>
    <x v="0"/>
    <x v="0"/>
    <s v="Sozinh@, a pé"/>
    <s v="Sim"/>
    <s v="Chamei alguém para me acompanhar"/>
    <x v="0"/>
    <x v="0"/>
    <s v="Sim"/>
    <x v="0"/>
    <m/>
    <x v="0"/>
    <m/>
  </r>
  <r>
    <n v="44523.433265995365"/>
    <m/>
    <x v="1"/>
    <x v="0"/>
    <x v="0"/>
    <x v="0"/>
    <x v="0"/>
    <s v="Sozinh@, a pé"/>
    <s v="Sim"/>
    <s v="Corri"/>
    <x v="1"/>
    <x v="1"/>
    <m/>
    <x v="1"/>
    <m/>
    <x v="0"/>
    <m/>
  </r>
  <r>
    <n v="44523.439391458334"/>
    <m/>
    <x v="0"/>
    <x v="0"/>
    <x v="0"/>
    <x v="1"/>
    <x v="0"/>
    <s v="Acompanhad@, de carro"/>
    <s v="Sim"/>
    <m/>
    <x v="1"/>
    <x v="0"/>
    <s v="Sim"/>
    <x v="1"/>
    <m/>
    <x v="1"/>
    <m/>
  </r>
  <r>
    <n v="44523.439693113425"/>
    <m/>
    <x v="0"/>
    <x v="0"/>
    <x v="0"/>
    <x v="2"/>
    <x v="0"/>
    <s v="Acompanhad@, de transportes públicos"/>
    <s v="Não"/>
    <m/>
    <x v="2"/>
    <x v="0"/>
    <s v="Sim"/>
    <x v="1"/>
    <m/>
    <x v="1"/>
    <m/>
  </r>
  <r>
    <n v="44523.440466006941"/>
    <m/>
    <x v="0"/>
    <x v="0"/>
    <x v="0"/>
    <x v="2"/>
    <x v="0"/>
    <s v="Sozinh@, a pé"/>
    <s v="Sim"/>
    <s v="Andar com chaves na mão para me salvaguardar e estar em chamada com pessoas"/>
    <x v="2"/>
    <x v="0"/>
    <s v="Sim"/>
    <x v="0"/>
    <s v="Homens fazem questão de nos deixar desconfortáveis"/>
    <x v="0"/>
    <m/>
  </r>
  <r>
    <n v="44523.442272175926"/>
    <m/>
    <x v="0"/>
    <x v="0"/>
    <x v="1"/>
    <x v="3"/>
    <x v="1"/>
    <s v="Acompanhad@, de carro"/>
    <s v="Sim"/>
    <m/>
    <x v="2"/>
    <x v="0"/>
    <s v="Sim"/>
    <x v="1"/>
    <m/>
    <x v="0"/>
    <m/>
  </r>
  <r>
    <n v="44523.446353171297"/>
    <m/>
    <x v="1"/>
    <x v="0"/>
    <x v="0"/>
    <x v="2"/>
    <x v="0"/>
    <s v="Sozinh@, a pé"/>
    <s v="Sim"/>
    <s v="Lidei coma situação"/>
    <x v="1"/>
    <x v="1"/>
    <m/>
    <x v="1"/>
    <m/>
    <x v="0"/>
    <m/>
  </r>
  <r>
    <n v="44523.450117592598"/>
    <m/>
    <x v="1"/>
    <x v="0"/>
    <x v="0"/>
    <x v="2"/>
    <x v="0"/>
    <s v="Acompanhad@, a pé"/>
    <s v="Não"/>
    <m/>
    <x v="1"/>
    <x v="1"/>
    <m/>
    <x v="1"/>
    <m/>
    <x v="1"/>
    <m/>
  </r>
  <r>
    <n v="44523.457808541665"/>
    <m/>
    <x v="0"/>
    <x v="0"/>
    <x v="0"/>
    <x v="3"/>
    <x v="0"/>
    <s v="Acompanhad@, de carro"/>
    <s v="Sim"/>
    <s v="Acelerei o passo e peguei logo nas chaves de casa para ser mais rapida a entrar"/>
    <x v="1"/>
    <x v="0"/>
    <s v="Não"/>
    <x v="0"/>
    <s v="Muita violência"/>
    <x v="0"/>
    <m/>
  </r>
  <r>
    <n v="44523.477313020834"/>
    <m/>
    <x v="1"/>
    <x v="0"/>
    <x v="0"/>
    <x v="1"/>
    <x v="0"/>
    <s v="Sozinh@, a pé"/>
    <s v="Sim"/>
    <s v="Continuei a andar senão tinha de dormir na rua"/>
    <x v="2"/>
    <x v="1"/>
    <m/>
    <x v="0"/>
    <s v="Pouca iluminação, pouco policiamento, ruas vazias"/>
    <x v="0"/>
    <m/>
  </r>
  <r>
    <n v="44523.489842048613"/>
    <m/>
    <x v="0"/>
    <x v="0"/>
    <x v="0"/>
    <x v="2"/>
    <x v="0"/>
    <s v="Acompanhad@, a pé"/>
    <s v="Sim"/>
    <s v="Liguei a uma amiga e fui a falar com ela"/>
    <x v="1"/>
    <x v="1"/>
    <s v="Não"/>
    <x v="1"/>
    <m/>
    <x v="0"/>
    <m/>
  </r>
  <r>
    <n v="44523.492477858796"/>
    <m/>
    <x v="0"/>
    <x v="1"/>
    <x v="0"/>
    <x v="3"/>
    <x v="2"/>
    <s v="Acompanhad@, de carro"/>
    <s v="Sim"/>
    <s v="Tranco o carro"/>
    <x v="0"/>
    <x v="0"/>
    <s v="Não"/>
    <x v="1"/>
    <m/>
    <x v="1"/>
    <m/>
  </r>
  <r>
    <n v="44523.503575104165"/>
    <m/>
    <x v="0"/>
    <x v="0"/>
    <x v="0"/>
    <x v="3"/>
    <x v="0"/>
    <s v="Acompanhad@, a pé"/>
    <s v="Não"/>
    <m/>
    <x v="0"/>
    <x v="1"/>
    <m/>
    <x v="1"/>
    <m/>
    <x v="1"/>
    <m/>
  </r>
  <r>
    <n v="44523.506112048606"/>
    <m/>
    <x v="1"/>
    <x v="0"/>
    <x v="0"/>
    <x v="3"/>
    <x v="2"/>
    <s v="Acompanhad@, de carro"/>
    <s v="Não"/>
    <m/>
    <x v="1"/>
    <x v="1"/>
    <s v="Não"/>
    <x v="2"/>
    <m/>
    <x v="0"/>
    <m/>
  </r>
  <r>
    <n v="44523.506259953705"/>
    <m/>
    <x v="0"/>
    <x v="0"/>
    <x v="0"/>
    <x v="3"/>
    <x v="2"/>
    <s v="Acompanhad@, de carro"/>
    <s v="Não"/>
    <m/>
    <x v="0"/>
    <x v="1"/>
    <m/>
    <x v="1"/>
    <m/>
    <x v="0"/>
    <m/>
  </r>
  <r>
    <n v="44523.50782702546"/>
    <m/>
    <x v="0"/>
    <x v="0"/>
    <x v="0"/>
    <x v="1"/>
    <x v="1"/>
    <s v="Acompanhad@, de carro"/>
    <s v="Não"/>
    <m/>
    <x v="0"/>
    <x v="0"/>
    <s v="Sim"/>
    <x v="1"/>
    <m/>
    <x v="2"/>
    <s v="Uma noite em que estava numa festa de aniversário de um amigo, em grupo e na cidade, fomos abordados por um grupo de rapazes e os mesmos ameaçaram-nos e roubaram-nos as bebidas alcóolicas. Este é o exemplo, que mesmo estando acompanhada, podemos correr ri"/>
  </r>
  <r>
    <n v="44523.510941469911"/>
    <m/>
    <x v="1"/>
    <x v="0"/>
    <x v="0"/>
    <x v="2"/>
    <x v="3"/>
    <s v="Acompanhad@, a pé"/>
    <s v="Sim"/>
    <s v="Fingi telefonemas, e caminhei rápido"/>
    <x v="1"/>
    <x v="1"/>
    <m/>
    <x v="1"/>
    <m/>
    <x v="1"/>
    <s v="Fui assaltado em lisboa a 9 de dezembro na zona do bairro alto, zona que desconheço e para onde so fui nessa noite. Perdi me do grupo com quem estava e demorei a encontra los, acabei por correr e conseguir fugir."/>
  </r>
  <r>
    <n v="44523.511566643516"/>
    <m/>
    <x v="0"/>
    <x v="0"/>
    <x v="0"/>
    <x v="2"/>
    <x v="1"/>
    <s v="Acompanhad@, a pé"/>
    <s v="Sim"/>
    <s v="Fiquei em chamada com alguém"/>
    <x v="0"/>
    <x v="1"/>
    <m/>
    <x v="1"/>
    <m/>
    <x v="0"/>
    <m/>
  </r>
  <r>
    <n v="44523.520054837965"/>
    <m/>
    <x v="0"/>
    <x v="0"/>
    <x v="0"/>
    <x v="4"/>
    <x v="1"/>
    <s v="Acompanhad@, de carro"/>
    <s v="Não"/>
    <m/>
    <x v="2"/>
    <x v="0"/>
    <s v="Sim"/>
    <x v="1"/>
    <m/>
    <x v="1"/>
    <m/>
  </r>
  <r>
    <n v="44523.526356504633"/>
    <m/>
    <x v="1"/>
    <x v="0"/>
    <x v="1"/>
    <x v="5"/>
    <x v="2"/>
    <s v="Acompanhad@, de transportes públicos"/>
    <s v="Não"/>
    <m/>
    <x v="1"/>
    <x v="1"/>
    <s v="Não"/>
    <x v="2"/>
    <m/>
    <x v="2"/>
    <m/>
  </r>
  <r>
    <n v="44523.535717673614"/>
    <m/>
    <x v="0"/>
    <x v="0"/>
    <x v="0"/>
    <x v="2"/>
    <x v="0"/>
    <s v="Acompanhad@, a pé"/>
    <s v="Sim"/>
    <s v="Apressar o passo ou mesmo correr"/>
    <x v="2"/>
    <x v="0"/>
    <s v="Não"/>
    <x v="0"/>
    <s v="Homens"/>
    <x v="0"/>
    <s v="Por mais que uma vez, fui tocada e apalpada contra a minha vontade. Além disso, temos, enquanto mulheres, que aturar as constantes roçadelas de homens na parte de trás do nosso corpo sempre que pousamos um pé num bar/discoteca."/>
  </r>
  <r>
    <n v="44523.536001689819"/>
    <m/>
    <x v="0"/>
    <x v="1"/>
    <x v="0"/>
    <x v="2"/>
    <x v="0"/>
    <s v="Acompanhad@, a pé"/>
    <s v="Não"/>
    <m/>
    <x v="1"/>
    <x v="0"/>
    <s v="Sim"/>
    <x v="1"/>
    <m/>
    <x v="0"/>
    <m/>
  </r>
  <r>
    <n v="44523.544029583332"/>
    <m/>
    <x v="0"/>
    <x v="2"/>
    <x v="0"/>
    <x v="3"/>
    <x v="0"/>
    <s v="Sozinh@, de carro"/>
    <s v="Sim"/>
    <s v="Não fiz nada, continuei andando mas com medo"/>
    <x v="2"/>
    <x v="0"/>
    <s v="Não"/>
    <x v="0"/>
    <s v="Medo de andar sozinha ou mesmo acompanhada com amigas e algo de ruim acontecer, assédio, violação entre outras coisas."/>
    <x v="0"/>
    <m/>
  </r>
  <r>
    <n v="44523.544880671296"/>
    <m/>
    <x v="0"/>
    <x v="0"/>
    <x v="0"/>
    <x v="2"/>
    <x v="0"/>
    <s v="Acompanhad@, de transportes públicos"/>
    <s v="Não"/>
    <m/>
    <x v="2"/>
    <x v="1"/>
    <m/>
    <x v="1"/>
    <m/>
    <x v="1"/>
    <m/>
  </r>
  <r>
    <n v="44523.545528182869"/>
    <m/>
    <x v="0"/>
    <x v="0"/>
    <x v="0"/>
    <x v="2"/>
    <x v="0"/>
    <s v="Acompanhad@, a pé"/>
    <s v="Sim"/>
    <s v="Caminhei mais rápido e liguei a amigos para ir em chamads"/>
    <x v="2"/>
    <x v="0"/>
    <s v="Sim"/>
    <x v="1"/>
    <m/>
    <x v="2"/>
    <m/>
  </r>
  <r>
    <n v="44523.560441979163"/>
    <m/>
    <x v="1"/>
    <x v="0"/>
    <x v="0"/>
    <x v="2"/>
    <x v="1"/>
    <s v="Sozinh@, de transportes públicos"/>
    <s v="Sim"/>
    <s v="Tentei manter a calma e procurar pessoas ao redor"/>
    <x v="0"/>
    <x v="1"/>
    <m/>
    <x v="1"/>
    <m/>
    <x v="0"/>
    <m/>
  </r>
  <r>
    <n v="44523.56129755787"/>
    <m/>
    <x v="0"/>
    <x v="0"/>
    <x v="0"/>
    <x v="0"/>
    <x v="1"/>
    <s v="Acompanhad@, de carro"/>
    <s v="Não"/>
    <m/>
    <x v="2"/>
    <x v="0"/>
    <s v="Sim"/>
    <x v="1"/>
    <m/>
    <x v="0"/>
    <m/>
  </r>
  <r>
    <n v="44523.582970034724"/>
    <m/>
    <x v="1"/>
    <x v="0"/>
    <x v="0"/>
    <x v="1"/>
    <x v="1"/>
    <s v="Acompanhad@, de carro"/>
    <s v="Não"/>
    <m/>
    <x v="1"/>
    <x v="1"/>
    <m/>
    <x v="1"/>
    <m/>
    <x v="0"/>
    <m/>
  </r>
  <r>
    <n v="44523.583187627315"/>
    <m/>
    <x v="0"/>
    <x v="0"/>
    <x v="0"/>
    <x v="3"/>
    <x v="0"/>
    <s v="Acompanhad@, a pé"/>
    <s v="Sim"/>
    <s v="Enquanto andava estava em chamada com uma amiga"/>
    <x v="2"/>
    <x v="0"/>
    <s v="Sim"/>
    <x v="0"/>
    <s v="Há sempre pessoas a tentar fazer algo de mal"/>
    <x v="1"/>
    <m/>
  </r>
  <r>
    <n v="44523.586662569447"/>
    <m/>
    <x v="1"/>
    <x v="0"/>
    <x v="0"/>
    <x v="3"/>
    <x v="3"/>
    <s v="Sozinh@, de carro"/>
    <s v="Não"/>
    <m/>
    <x v="2"/>
    <x v="1"/>
    <m/>
    <x v="2"/>
    <m/>
    <x v="0"/>
    <m/>
  </r>
  <r>
    <n v="44523.592277094911"/>
    <m/>
    <x v="0"/>
    <x v="1"/>
    <x v="0"/>
    <x v="1"/>
    <x v="0"/>
    <s v="Acompanhad@, de carro"/>
    <s v="Sim"/>
    <s v="Tentei ser invisível"/>
    <x v="2"/>
    <x v="0"/>
    <s v="Sim"/>
    <x v="0"/>
    <s v="Não consigo sair sozinha devido ao número crescente de violência"/>
    <x v="1"/>
    <m/>
  </r>
  <r>
    <n v="44523.594718206019"/>
    <m/>
    <x v="1"/>
    <x v="1"/>
    <x v="0"/>
    <x v="2"/>
    <x v="3"/>
    <s v="Acompanhad@, a pé"/>
    <s v="Não"/>
    <m/>
    <x v="2"/>
    <x v="1"/>
    <m/>
    <x v="1"/>
    <m/>
    <x v="1"/>
    <m/>
  </r>
  <r>
    <n v="44523.596037581017"/>
    <m/>
    <x v="0"/>
    <x v="0"/>
    <x v="0"/>
    <x v="3"/>
    <x v="0"/>
    <s v="Acompanhad@, a pé"/>
    <s v="Sim"/>
    <m/>
    <x v="0"/>
    <x v="0"/>
    <s v="Sim"/>
    <x v="0"/>
    <m/>
    <x v="1"/>
    <m/>
  </r>
  <r>
    <n v="44523.599777442127"/>
    <m/>
    <x v="0"/>
    <x v="0"/>
    <x v="0"/>
    <x v="3"/>
    <x v="0"/>
    <s v="Acompanhad@, de carro"/>
    <s v="Não"/>
    <m/>
    <x v="1"/>
    <x v="1"/>
    <m/>
    <x v="1"/>
    <m/>
    <x v="0"/>
    <m/>
  </r>
  <r>
    <n v="44523.619829444448"/>
    <m/>
    <x v="1"/>
    <x v="0"/>
    <x v="0"/>
    <x v="0"/>
    <x v="1"/>
    <s v="Sozinh@, a pé"/>
    <s v="Sim"/>
    <s v="Caminhar mais depressa, ligar a alguém e fazer a viagem a conversar"/>
    <x v="1"/>
    <x v="1"/>
    <m/>
    <x v="1"/>
    <m/>
    <x v="0"/>
    <m/>
  </r>
  <r>
    <n v="44523.634893495371"/>
    <m/>
    <x v="1"/>
    <x v="0"/>
    <x v="0"/>
    <x v="3"/>
    <x v="0"/>
    <s v="Acompanhad@, de carro"/>
    <s v="Não"/>
    <m/>
    <x v="0"/>
    <x v="1"/>
    <m/>
    <x v="1"/>
    <m/>
    <x v="1"/>
    <m/>
  </r>
  <r>
    <n v="44523.637597025459"/>
    <m/>
    <x v="1"/>
    <x v="0"/>
    <x v="0"/>
    <x v="3"/>
    <x v="0"/>
    <s v="Acompanhad@, de carro"/>
    <s v="Não"/>
    <m/>
    <x v="1"/>
    <x v="1"/>
    <m/>
    <x v="1"/>
    <m/>
    <x v="0"/>
    <m/>
  </r>
  <r>
    <n v="44523.638933645838"/>
    <m/>
    <x v="1"/>
    <x v="0"/>
    <x v="0"/>
    <x v="6"/>
    <x v="0"/>
    <s v="Sozinh@, a pé"/>
    <s v="Sim"/>
    <s v="Ignorei"/>
    <x v="0"/>
    <x v="1"/>
    <m/>
    <x v="1"/>
    <m/>
    <x v="0"/>
    <m/>
  </r>
  <r>
    <n v="44523.644740023148"/>
    <m/>
    <x v="0"/>
    <x v="0"/>
    <x v="0"/>
    <x v="2"/>
    <x v="1"/>
    <s v="Acompanhad@, a pé"/>
    <s v="Sim"/>
    <s v="Andei mais depressa e liguei a alguém enquanto estava sozinha"/>
    <x v="0"/>
    <x v="0"/>
    <s v="Sim"/>
    <x v="0"/>
    <s v="Sendo rapariga sinto me mais insegura"/>
    <x v="0"/>
    <s v="Ter de correr devido a estar a seguir me"/>
  </r>
  <r>
    <n v="44524.513238032407"/>
    <m/>
    <x v="2"/>
    <x v="0"/>
    <x v="1"/>
    <x v="5"/>
    <x v="4"/>
    <m/>
    <m/>
    <m/>
    <x v="2"/>
    <x v="0"/>
    <s v="Não"/>
    <x v="0"/>
    <m/>
    <x v="0"/>
    <m/>
  </r>
  <r>
    <n v="44523.646698912038"/>
    <m/>
    <x v="0"/>
    <x v="0"/>
    <x v="1"/>
    <x v="5"/>
    <x v="4"/>
    <s v="Sozinh@, a pé"/>
    <s v="Sim"/>
    <s v="Fui quase a correr o caminho todo"/>
    <x v="2"/>
    <x v="1"/>
    <m/>
    <x v="0"/>
    <m/>
    <x v="1"/>
    <m/>
  </r>
  <r>
    <n v="44523.693443912038"/>
    <m/>
    <x v="1"/>
    <x v="0"/>
    <x v="0"/>
    <x v="3"/>
    <x v="1"/>
    <s v="Sozinh@, a pé"/>
    <s v="Não"/>
    <m/>
    <x v="1"/>
    <x v="1"/>
    <m/>
    <x v="1"/>
    <m/>
    <x v="0"/>
    <m/>
  </r>
  <r>
    <n v="44523.701219490744"/>
    <m/>
    <x v="0"/>
    <x v="0"/>
    <x v="1"/>
    <x v="1"/>
    <x v="2"/>
    <s v="Sozinh@, a pé"/>
    <s v="Sim"/>
    <s v="Apressar passo, ligar a alguém e falar alto"/>
    <x v="2"/>
    <x v="0"/>
    <s v="Sim"/>
    <x v="1"/>
    <m/>
    <x v="0"/>
    <m/>
  </r>
  <r>
    <n v="44523.75036071759"/>
    <m/>
    <x v="1"/>
    <x v="0"/>
    <x v="0"/>
    <x v="7"/>
    <x v="0"/>
    <s v="Sozinh@, de transportes públicos"/>
    <s v="Sim"/>
    <m/>
    <x v="2"/>
    <x v="1"/>
    <m/>
    <x v="1"/>
    <m/>
    <x v="1"/>
    <m/>
  </r>
  <r>
    <n v="44523.809099513892"/>
    <m/>
    <x v="0"/>
    <x v="1"/>
    <x v="0"/>
    <x v="8"/>
    <x v="1"/>
    <s v="Sozinh@, de carro"/>
    <s v="Não"/>
    <m/>
    <x v="0"/>
    <x v="1"/>
    <m/>
    <x v="0"/>
    <s v="Porque, existe muita violência perante os jovens( devido álcool,drogas ....)"/>
    <x v="0"/>
    <m/>
  </r>
  <r>
    <n v="44523.83160075231"/>
    <m/>
    <x v="0"/>
    <x v="0"/>
    <x v="0"/>
    <x v="7"/>
    <x v="1"/>
    <s v="Sozinh@, de transportes públicos"/>
    <s v="Sim"/>
    <s v="Andei mais rápido"/>
    <x v="2"/>
    <x v="1"/>
    <m/>
    <x v="0"/>
    <s v="Poucas pessoas nas zonas afastadas dos bares"/>
    <x v="0"/>
    <m/>
  </r>
  <r>
    <n v="44523.851294942127"/>
    <m/>
    <x v="0"/>
    <x v="0"/>
    <x v="0"/>
    <x v="2"/>
    <x v="2"/>
    <s v="Acompanhad@, a pé"/>
    <s v="Sim"/>
    <m/>
    <x v="0"/>
    <x v="1"/>
    <m/>
    <x v="1"/>
    <m/>
    <x v="0"/>
    <m/>
  </r>
  <r>
    <n v="44523.854737337962"/>
    <m/>
    <x v="0"/>
    <x v="3"/>
    <x v="0"/>
    <x v="1"/>
    <x v="1"/>
    <s v="Acompanhad@, de transportes públicos"/>
    <s v="Sim"/>
    <s v="Ao telemóvel com amigos"/>
    <x v="1"/>
    <x v="1"/>
    <m/>
    <x v="1"/>
    <m/>
    <x v="1"/>
    <m/>
  </r>
  <r>
    <n v="44523.856390335648"/>
    <m/>
    <x v="1"/>
    <x v="0"/>
    <x v="1"/>
    <x v="8"/>
    <x v="2"/>
    <s v="Sozinh@, de carro"/>
    <s v="Não"/>
    <m/>
    <x v="0"/>
    <x v="1"/>
    <m/>
    <x v="1"/>
    <m/>
    <x v="0"/>
    <m/>
  </r>
  <r>
    <n v="44523.869623981482"/>
    <m/>
    <x v="0"/>
    <x v="0"/>
    <x v="1"/>
    <x v="9"/>
    <x v="1"/>
    <s v="Acompanhad@, de carro"/>
    <s v="Sim"/>
    <m/>
    <x v="2"/>
    <x v="1"/>
    <m/>
    <x v="1"/>
    <m/>
    <x v="1"/>
    <m/>
  </r>
  <r>
    <n v="44523.889127662042"/>
    <m/>
    <x v="0"/>
    <x v="0"/>
    <x v="0"/>
    <x v="8"/>
    <x v="0"/>
    <s v="Acompanhad@, de carro"/>
    <s v="Não"/>
    <m/>
    <x v="0"/>
    <x v="0"/>
    <s v="Não"/>
    <x v="0"/>
    <s v="Nunca estaremos seguras perto de homens_x000a_Alcoolizados!"/>
    <x v="1"/>
    <s v="Estava com as minhas amigas e um homem agarra-me e começa a apalpar-me no meio da discoteca e ninguém fazia nada mesmo eu estando aos berros!"/>
  </r>
  <r>
    <n v="44523.934484942132"/>
    <m/>
    <x v="0"/>
    <x v="1"/>
    <x v="1"/>
    <x v="8"/>
    <x v="2"/>
    <s v="Acompanhad@, de carro"/>
    <s v="Não"/>
    <m/>
    <x v="1"/>
    <x v="1"/>
    <m/>
    <x v="1"/>
    <m/>
    <x v="1"/>
    <m/>
  </r>
  <r>
    <n v="44524.186883657407"/>
    <m/>
    <x v="0"/>
    <x v="0"/>
    <x v="0"/>
    <x v="2"/>
    <x v="0"/>
    <s v="Acompanhad@, de transportes públicos"/>
    <s v="Não"/>
    <m/>
    <x v="2"/>
    <x v="0"/>
    <s v="Não"/>
    <x v="1"/>
    <s v="Se estiver sozinha sinto-me pouco segura mas se estiver acompanhada com amigos sinto-me segura."/>
    <x v="0"/>
    <s v="Ir para a Praça e estar constantemente a levar com buzinas de carros e assobios"/>
  </r>
  <r>
    <n v="44524.40560337963"/>
    <m/>
    <x v="0"/>
    <x v="0"/>
    <x v="1"/>
    <x v="5"/>
    <x v="2"/>
    <m/>
    <s v="Não"/>
    <m/>
    <x v="0"/>
    <x v="0"/>
    <s v="Não"/>
    <x v="0"/>
    <s v="Violência"/>
    <x v="1"/>
    <s v="Não tenho nada a referir"/>
  </r>
  <r>
    <n v="44524.409566631948"/>
    <m/>
    <x v="1"/>
    <x v="0"/>
    <x v="0"/>
    <x v="0"/>
    <x v="1"/>
    <s v="Acompanhad@, de carro"/>
    <s v="Não"/>
    <m/>
    <x v="0"/>
    <x v="1"/>
    <m/>
    <x v="2"/>
    <m/>
    <x v="0"/>
    <m/>
  </r>
  <r>
    <n v="44524.409697986106"/>
    <m/>
    <x v="1"/>
    <x v="0"/>
    <x v="1"/>
    <x v="5"/>
    <x v="4"/>
    <s v="Sozinh@, a pé"/>
    <s v="Não"/>
    <m/>
    <x v="1"/>
    <x v="1"/>
    <m/>
    <x v="2"/>
    <m/>
    <x v="0"/>
    <m/>
  </r>
  <r>
    <n v="44524.409771909719"/>
    <m/>
    <x v="0"/>
    <x v="0"/>
    <x v="0"/>
    <x v="2"/>
    <x v="0"/>
    <s v="Sozinh@, a pé"/>
    <s v="Não"/>
    <m/>
    <x v="0"/>
    <x v="0"/>
    <s v="Sim"/>
    <x v="1"/>
    <m/>
    <x v="0"/>
    <s v="Não foi noturno mas foi durante o dia, fui abordada por um homem que não me deixava passar e ao tentar passar agarrou-me ate que eu fiz força para que ele me largasse e consegui vir embora"/>
  </r>
  <r>
    <n v="44524.410203807871"/>
    <m/>
    <x v="0"/>
    <x v="4"/>
    <x v="0"/>
    <x v="5"/>
    <x v="2"/>
    <s v="Acompanhad@, de carro"/>
    <m/>
    <m/>
    <x v="2"/>
    <x v="0"/>
    <s v="Sim"/>
    <x v="1"/>
    <m/>
    <x v="1"/>
    <m/>
  </r>
  <r>
    <n v="44524.410661284724"/>
    <m/>
    <x v="0"/>
    <x v="0"/>
    <x v="0"/>
    <x v="0"/>
    <x v="2"/>
    <s v="Acompanhad@, de carro"/>
    <s v="Não"/>
    <m/>
    <x v="0"/>
    <x v="0"/>
    <s v="Não"/>
    <x v="1"/>
    <m/>
    <x v="0"/>
    <m/>
  </r>
  <r>
    <n v="44524.412522662038"/>
    <m/>
    <x v="0"/>
    <x v="0"/>
    <x v="0"/>
    <x v="2"/>
    <x v="0"/>
    <s v="Acompanhad@, de carro"/>
    <s v="Sim"/>
    <s v="Quando andava sozinha na rua e um senhor abordou-me a perguntar se queria ir com ele…"/>
    <x v="0"/>
    <x v="0"/>
    <m/>
    <x v="0"/>
    <s v="Medo"/>
    <x v="0"/>
    <m/>
  </r>
  <r>
    <n v="44524.420346898143"/>
    <m/>
    <x v="1"/>
    <x v="0"/>
    <x v="0"/>
    <x v="0"/>
    <x v="0"/>
    <s v="Acompanhad@, a pé"/>
    <s v="Não"/>
    <m/>
    <x v="2"/>
    <x v="1"/>
    <m/>
    <x v="1"/>
    <m/>
    <x v="2"/>
    <m/>
  </r>
  <r>
    <n v="44524.422558993057"/>
    <m/>
    <x v="0"/>
    <x v="0"/>
    <x v="0"/>
    <x v="0"/>
    <x v="1"/>
    <s v="Acompanhad@, de carro"/>
    <s v="Não"/>
    <m/>
    <x v="0"/>
    <x v="0"/>
    <s v="Sim"/>
    <x v="1"/>
    <m/>
    <x v="0"/>
    <s v="Estava numa festa com uma amiga e estavam pessoas atrás de nós a tocar nos e apalpar nos os rabos"/>
  </r>
  <r>
    <n v="44524.424762118055"/>
    <m/>
    <x v="0"/>
    <x v="1"/>
    <x v="0"/>
    <x v="0"/>
    <x v="1"/>
    <s v="Acompanhad@, de carro"/>
    <s v="Não"/>
    <m/>
    <x v="0"/>
    <x v="1"/>
    <m/>
    <x v="1"/>
    <m/>
    <x v="0"/>
    <m/>
  </r>
  <r>
    <n v="44524.426952488429"/>
    <m/>
    <x v="1"/>
    <x v="0"/>
    <x v="0"/>
    <x v="0"/>
    <x v="2"/>
    <s v="Acompanhad@, de carro"/>
    <s v="Não"/>
    <m/>
    <x v="1"/>
    <x v="1"/>
    <m/>
    <x v="2"/>
    <m/>
    <x v="0"/>
    <m/>
  </r>
  <r>
    <n v="44524.428760254625"/>
    <m/>
    <x v="0"/>
    <x v="0"/>
    <x v="0"/>
    <x v="0"/>
    <x v="2"/>
    <s v="Acompanhad@, de carro"/>
    <s v="Não"/>
    <m/>
    <x v="1"/>
    <x v="0"/>
    <s v="Sim"/>
    <x v="1"/>
    <m/>
    <x v="0"/>
    <s v="Não podem ver uma mulher mais produzida, ou com vestido ou com saia , que não sabem respeitar !!!"/>
  </r>
  <r>
    <n v="44524.428820127316"/>
    <m/>
    <x v="0"/>
    <x v="0"/>
    <x v="0"/>
    <x v="0"/>
    <x v="0"/>
    <s v="Acompanhad@, a pé"/>
    <s v="Sim"/>
    <m/>
    <x v="0"/>
    <x v="0"/>
    <s v="Sim"/>
    <x v="1"/>
    <m/>
    <x v="0"/>
    <m/>
  </r>
  <r>
    <n v="44524.429203263891"/>
    <m/>
    <x v="0"/>
    <x v="0"/>
    <x v="1"/>
    <x v="5"/>
    <x v="2"/>
    <s v="Acompanhad@, de carro"/>
    <s v="Não"/>
    <m/>
    <x v="0"/>
    <x v="1"/>
    <m/>
    <x v="1"/>
    <m/>
    <x v="1"/>
    <m/>
  </r>
  <r>
    <n v="44524.431441504625"/>
    <m/>
    <x v="0"/>
    <x v="0"/>
    <x v="0"/>
    <x v="2"/>
    <x v="2"/>
    <s v="Acompanhad@, de carro"/>
    <s v="Não"/>
    <m/>
    <x v="2"/>
    <x v="0"/>
    <s v="Sim"/>
    <x v="1"/>
    <m/>
    <x v="0"/>
    <m/>
  </r>
  <r>
    <n v="44524.441222488429"/>
    <m/>
    <x v="0"/>
    <x v="0"/>
    <x v="0"/>
    <x v="0"/>
    <x v="1"/>
    <s v="Acompanhad@, de transportes públicos"/>
    <s v="Sim"/>
    <s v="Conversei com amigas por sms para sentir-me mais relaxada"/>
    <x v="2"/>
    <x v="0"/>
    <s v="Não"/>
    <x v="0"/>
    <s v="Sinto que algum carro pode parar e raptar-me"/>
    <x v="1"/>
    <m/>
  </r>
  <r>
    <n v="44524.458286875"/>
    <m/>
    <x v="0"/>
    <x v="4"/>
    <x v="0"/>
    <x v="2"/>
    <x v="0"/>
    <s v="Acompanhad@, de carro"/>
    <s v="Sim"/>
    <s v="Chamei um amigo para sair comigo"/>
    <x v="2"/>
    <x v="1"/>
    <s v="Não"/>
    <x v="0"/>
    <s v="Tenho medo que me possam fazer mal ,roubar e assim ."/>
    <x v="2"/>
    <m/>
  </r>
  <r>
    <n v="44524.481558182873"/>
    <m/>
    <x v="0"/>
    <x v="0"/>
    <x v="0"/>
    <x v="0"/>
    <x v="1"/>
    <s v="Acompanhad@, de carro"/>
    <s v="Sim"/>
    <s v="Com alguma precaução ou ligar a amiga/mãe/os /pai"/>
    <x v="0"/>
    <x v="0"/>
    <s v="Sim"/>
    <x v="1"/>
    <m/>
    <x v="0"/>
    <s v="Assédio e carros a parar ao lado e terem má língua"/>
  </r>
  <r>
    <n v="44524.485157233794"/>
    <m/>
    <x v="0"/>
    <x v="0"/>
    <x v="0"/>
    <x v="0"/>
    <x v="0"/>
    <s v="Acompanhad@, de carro"/>
    <s v="Não"/>
    <m/>
    <x v="0"/>
    <x v="0"/>
    <m/>
    <x v="1"/>
    <m/>
    <x v="0"/>
    <m/>
  </r>
  <r>
    <n v="44524.486151319448"/>
    <m/>
    <x v="0"/>
    <x v="0"/>
    <x v="0"/>
    <x v="0"/>
    <x v="2"/>
    <s v="Acompanhad@, a pé"/>
    <s v="Não"/>
    <m/>
    <x v="0"/>
    <x v="1"/>
    <m/>
    <x v="1"/>
    <m/>
    <x v="0"/>
    <m/>
  </r>
  <r>
    <n v="44524.488004537037"/>
    <m/>
    <x v="0"/>
    <x v="0"/>
    <x v="0"/>
    <x v="2"/>
    <x v="1"/>
    <s v="Acompanhad@, de carro"/>
    <s v="Sim"/>
    <m/>
    <x v="2"/>
    <x v="0"/>
    <s v="Não"/>
    <x v="0"/>
    <m/>
    <x v="0"/>
    <m/>
  </r>
  <r>
    <n v="44524.488519189814"/>
    <m/>
    <x v="0"/>
    <x v="0"/>
    <x v="1"/>
    <x v="0"/>
    <x v="2"/>
    <s v="Acompanhad@, de carro"/>
    <s v="Sim"/>
    <s v="Tentei caminhar mais rápido"/>
    <x v="0"/>
    <x v="0"/>
    <s v="Sim"/>
    <x v="1"/>
    <m/>
    <x v="2"/>
    <m/>
  </r>
  <r>
    <n v="44524.502172939814"/>
    <m/>
    <x v="0"/>
    <x v="0"/>
    <x v="1"/>
    <x v="0"/>
    <x v="2"/>
    <s v="Acompanhad@, de carro"/>
    <s v="Sim"/>
    <s v="Ir constantemente a olhar à volta."/>
    <x v="1"/>
    <x v="1"/>
    <m/>
    <x v="1"/>
    <m/>
    <x v="0"/>
    <m/>
  </r>
  <r>
    <n v="44524.505792013893"/>
    <m/>
    <x v="1"/>
    <x v="2"/>
    <x v="1"/>
    <x v="0"/>
    <x v="2"/>
    <s v="Acompanhad@, a pé"/>
    <s v="Não"/>
    <m/>
    <x v="2"/>
    <x v="1"/>
    <m/>
    <x v="1"/>
    <m/>
    <x v="0"/>
    <m/>
  </r>
  <r>
    <n v="44524.505814155091"/>
    <m/>
    <x v="0"/>
    <x v="0"/>
    <x v="0"/>
    <x v="2"/>
    <x v="1"/>
    <s v="Acompanhad@, a pé"/>
    <s v="Sim"/>
    <s v="andar rápido"/>
    <x v="0"/>
    <x v="0"/>
    <s v="Sim"/>
    <x v="1"/>
    <m/>
    <x v="0"/>
    <m/>
  </r>
  <r>
    <n v="44524.505995127314"/>
    <m/>
    <x v="0"/>
    <x v="0"/>
    <x v="0"/>
    <x v="0"/>
    <x v="2"/>
    <s v="Acompanhad@, a pé"/>
    <s v="Sim"/>
    <s v="Andar rápido"/>
    <x v="2"/>
    <x v="1"/>
    <s v="Não"/>
    <x v="1"/>
    <m/>
    <x v="1"/>
    <m/>
  </r>
  <r>
    <n v="44524.506026620365"/>
    <m/>
    <x v="0"/>
    <x v="1"/>
    <x v="0"/>
    <x v="0"/>
    <x v="1"/>
    <s v="Acompanhad@, a pé"/>
    <s v="Sim"/>
    <s v="Comecei a andar mais rápido"/>
    <x v="2"/>
    <x v="0"/>
    <s v="Sim"/>
    <x v="1"/>
    <m/>
    <x v="0"/>
    <m/>
  </r>
  <r>
    <n v="44524.507336527779"/>
    <m/>
    <x v="0"/>
    <x v="0"/>
    <x v="0"/>
    <x v="0"/>
    <x v="1"/>
    <s v="Acompanhad@, de carro"/>
    <s v="Não"/>
    <m/>
    <x v="2"/>
    <x v="1"/>
    <m/>
    <x v="1"/>
    <m/>
    <x v="1"/>
    <m/>
  </r>
  <r>
    <n v="44524.508171921298"/>
    <m/>
    <x v="1"/>
    <x v="0"/>
    <x v="1"/>
    <x v="5"/>
    <x v="2"/>
    <s v="Acompanhad@, de carro"/>
    <s v="Não"/>
    <m/>
    <x v="1"/>
    <x v="1"/>
    <s v="Não"/>
    <x v="1"/>
    <m/>
    <x v="0"/>
    <s v="Um episodio negativo e que a mais violencia"/>
  </r>
  <r>
    <n v="44524.508887175922"/>
    <m/>
    <x v="0"/>
    <x v="0"/>
    <x v="0"/>
    <x v="0"/>
    <x v="0"/>
    <s v="Acompanhad@, de carro"/>
    <s v="Sim"/>
    <s v="Em forma de defesa..... Liguei para alguém e informei o que se estava a passar"/>
    <x v="2"/>
    <x v="0"/>
    <s v="Sim"/>
    <x v="1"/>
    <m/>
    <x v="0"/>
    <s v="Enquanto estava andado com a minha cadela, um carro onde tinha um homem estava sempre a dar a volta e a passar por mim até me abordar dissendo que me conhecia e que podia me levar a casa. Como óbvio não aceitei, além de que a minha casa ficava perto de on"/>
  </r>
  <r>
    <n v="44524.510749456022"/>
    <m/>
    <x v="0"/>
    <x v="0"/>
    <x v="0"/>
    <x v="0"/>
    <x v="0"/>
    <s v="Sozinh@, a pé"/>
    <s v="Sim"/>
    <s v="A minha cidade já foi falada por ter violadores"/>
    <x v="0"/>
    <x v="0"/>
    <s v="Sim"/>
    <x v="1"/>
    <m/>
    <x v="0"/>
    <m/>
  </r>
  <r>
    <n v="44523.645041504627"/>
    <m/>
    <x v="2"/>
    <x v="0"/>
    <x v="0"/>
    <x v="1"/>
    <x v="0"/>
    <s v="Acompanhad@, de transportes públicos"/>
    <s v="Não"/>
    <m/>
    <x v="0"/>
    <x v="1"/>
    <m/>
    <x v="1"/>
    <m/>
    <x v="0"/>
    <s v="Pá, uma vez um amigo meu tinha de ligar a bateria do carro dele e faltava uma carga negativa. O carro não pegava e estávamos stressados. Isto durou uns bons 30m até que um estúpido qualquer se lembrou que tinha uma em casa (que era a 2m de lá). Trouxe o p"/>
  </r>
  <r>
    <n v="44524.516900127317"/>
    <m/>
    <x v="0"/>
    <x v="0"/>
    <x v="0"/>
    <x v="0"/>
    <x v="0"/>
    <s v="Acompanhad@, de carro"/>
    <s v="Sim"/>
    <s v="Pedi a alguém para vir ao meu encontro para que esse medo desaparecesse"/>
    <x v="0"/>
    <x v="0"/>
    <s v="Sim"/>
    <x v="0"/>
    <s v="&quot;Pouco seguro&quot; porque não sei quem me poderá fazer mal ou até mesmo o que me pode vir a acontecer , muito medrosa em relação a esses aspectos"/>
    <x v="0"/>
    <s v="A desumanidade das pessoas ao ponto de olharem de cima a baixo, fazendo com que não me sentisse confortável pois não sei o que era retratado por trás daqueles olhos..."/>
  </r>
  <r>
    <n v="44524.518089745368"/>
    <m/>
    <x v="0"/>
    <x v="0"/>
    <x v="0"/>
    <x v="0"/>
    <x v="2"/>
    <s v="Acompanhad@, de carro"/>
    <s v="Sim"/>
    <m/>
    <x v="0"/>
    <x v="0"/>
    <s v="Sim"/>
    <x v="1"/>
    <m/>
    <x v="0"/>
    <m/>
  </r>
  <r>
    <n v="44524.538031030097"/>
    <m/>
    <x v="1"/>
    <x v="0"/>
    <x v="1"/>
    <x v="2"/>
    <x v="2"/>
    <s v="Acompanhad@, de carro"/>
    <s v="Não"/>
    <m/>
    <x v="0"/>
    <x v="1"/>
    <m/>
    <x v="1"/>
    <m/>
    <x v="0"/>
    <m/>
  </r>
  <r>
    <n v="44524.544317152773"/>
    <m/>
    <x v="0"/>
    <x v="0"/>
    <x v="0"/>
    <x v="9"/>
    <x v="1"/>
    <s v="Acompanhad@, de carro"/>
    <s v="Não"/>
    <m/>
    <x v="1"/>
    <x v="0"/>
    <s v="Sim"/>
    <x v="1"/>
    <m/>
    <x v="0"/>
    <m/>
  </r>
  <r>
    <n v="44524.54752521991"/>
    <m/>
    <x v="0"/>
    <x v="2"/>
    <x v="1"/>
    <x v="5"/>
    <x v="2"/>
    <s v="Sozinh@, de carro"/>
    <s v="Não"/>
    <m/>
    <x v="0"/>
    <x v="0"/>
    <s v="Não"/>
    <x v="1"/>
    <m/>
    <x v="0"/>
    <s v="Não"/>
  </r>
  <r>
    <n v="44524.55264425926"/>
    <m/>
    <x v="0"/>
    <x v="2"/>
    <x v="1"/>
    <x v="6"/>
    <x v="2"/>
    <s v="Acompanhad@, a pé"/>
    <s v="Não"/>
    <m/>
    <x v="2"/>
    <x v="1"/>
    <m/>
    <x v="1"/>
    <m/>
    <x v="0"/>
    <m/>
  </r>
  <r>
    <n v="44524.561996122684"/>
    <m/>
    <x v="0"/>
    <x v="0"/>
    <x v="0"/>
    <x v="0"/>
    <x v="0"/>
    <s v="Acompanhad@, de carro"/>
    <s v="Não"/>
    <m/>
    <x v="0"/>
    <x v="1"/>
    <m/>
    <x v="1"/>
    <m/>
    <x v="0"/>
    <m/>
  </r>
  <r>
    <n v="44524.566953726855"/>
    <m/>
    <x v="1"/>
    <x v="0"/>
    <x v="0"/>
    <x v="0"/>
    <x v="0"/>
    <s v="Acompanhad@, de carro"/>
    <s v="Não"/>
    <m/>
    <x v="2"/>
    <x v="1"/>
    <s v="Não"/>
    <x v="1"/>
    <m/>
    <x v="0"/>
    <m/>
  </r>
  <r>
    <n v="44524.589810046295"/>
    <m/>
    <x v="0"/>
    <x v="0"/>
    <x v="0"/>
    <x v="2"/>
    <x v="1"/>
    <s v="Acompanhad@, de carro"/>
    <s v="Sim"/>
    <s v="Andei pra frente e fingi estar em chamada com a minha mãe"/>
    <x v="2"/>
    <x v="1"/>
    <m/>
    <x v="1"/>
    <m/>
    <x v="0"/>
    <m/>
  </r>
  <r>
    <n v="44524.589827164353"/>
    <m/>
    <x v="1"/>
    <x v="0"/>
    <x v="0"/>
    <x v="0"/>
    <x v="0"/>
    <s v="Acompanhad@, de carro"/>
    <s v="Sim"/>
    <s v="Com medo"/>
    <x v="2"/>
    <x v="1"/>
    <m/>
    <x v="1"/>
    <m/>
    <x v="0"/>
    <m/>
  </r>
  <r>
    <n v="44524.591569652781"/>
    <m/>
    <x v="0"/>
    <x v="0"/>
    <x v="0"/>
    <x v="0"/>
    <x v="1"/>
    <s v="Acompanhad@, de carro"/>
    <s v="Sim"/>
    <m/>
    <x v="1"/>
    <x v="0"/>
    <s v="Não"/>
    <x v="1"/>
    <m/>
    <x v="0"/>
    <m/>
  </r>
  <r>
    <n v="44524.595881134257"/>
    <m/>
    <x v="0"/>
    <x v="0"/>
    <x v="1"/>
    <x v="5"/>
    <x v="2"/>
    <m/>
    <s v="Não"/>
    <m/>
    <x v="2"/>
    <x v="0"/>
    <m/>
    <x v="1"/>
    <m/>
    <x v="0"/>
    <m/>
  </r>
  <r>
    <n v="44524.612102824074"/>
    <m/>
    <x v="0"/>
    <x v="1"/>
    <x v="0"/>
    <x v="2"/>
    <x v="0"/>
    <s v="Acompanhad@, de transportes públicos"/>
    <s v="Não"/>
    <m/>
    <x v="0"/>
    <x v="0"/>
    <s v="Sim"/>
    <x v="1"/>
    <m/>
    <x v="1"/>
    <m/>
  </r>
  <r>
    <n v="44524.656063912036"/>
    <m/>
    <x v="0"/>
    <x v="0"/>
    <x v="0"/>
    <x v="0"/>
    <x v="1"/>
    <s v="Acompanhad@, de carro"/>
    <s v="Sim"/>
    <s v="Segui caminho até ao meu destino, mas sempre desconfiada."/>
    <x v="0"/>
    <x v="0"/>
    <s v="Sim"/>
    <x v="1"/>
    <m/>
    <x v="0"/>
    <m/>
  </r>
  <r>
    <n v="44524.75933724537"/>
    <m/>
    <x v="0"/>
    <x v="0"/>
    <x v="0"/>
    <x v="2"/>
    <x v="0"/>
    <s v="Acompanhad@, de transportes públicos"/>
    <s v="Sim"/>
    <s v="Liguei a alguém"/>
    <x v="0"/>
    <x v="0"/>
    <s v="Não"/>
    <x v="1"/>
    <m/>
    <x v="0"/>
    <s v="Ser abordado por pessoas desconhecidas e tornarem se agressivos por não conseguirem ter o que pretendiam"/>
  </r>
  <r>
    <n v="44524.787075671295"/>
    <m/>
    <x v="0"/>
    <x v="0"/>
    <x v="0"/>
    <x v="0"/>
    <x v="0"/>
    <s v="Acompanhad@, de carro"/>
    <s v="Sim"/>
    <s v="Pessoas a assobiar,,medo de ser raptada,,me sinto insegura mesmo"/>
    <x v="0"/>
    <x v="0"/>
    <s v="Sim"/>
    <x v="0"/>
    <s v="Não so por o facto de estar de noite mas sim a minha zona não é propriamente segura"/>
    <x v="1"/>
    <m/>
  </r>
  <r>
    <n v="44524.883363460649"/>
    <m/>
    <x v="0"/>
    <x v="0"/>
    <x v="0"/>
    <x v="2"/>
    <x v="0"/>
    <s v="Acompanhad@, de carro"/>
    <s v="Não"/>
    <m/>
    <x v="0"/>
    <x v="0"/>
    <s v="Sim"/>
    <x v="1"/>
    <m/>
    <x v="0"/>
    <m/>
  </r>
  <r>
    <n v="44524.891562418983"/>
    <m/>
    <x v="0"/>
    <x v="0"/>
    <x v="0"/>
    <x v="2"/>
    <x v="0"/>
    <s v="Acompanhad@, de carro"/>
    <s v="Sim"/>
    <s v="Corri"/>
    <x v="1"/>
    <x v="1"/>
    <m/>
    <x v="1"/>
    <m/>
    <x v="0"/>
    <m/>
  </r>
  <r>
    <n v="44525.320712129629"/>
    <m/>
    <x v="0"/>
    <x v="0"/>
    <x v="1"/>
    <x v="3"/>
    <x v="2"/>
    <s v="Acompanhad@, a pé"/>
    <s v="Não"/>
    <m/>
    <x v="2"/>
    <x v="1"/>
    <m/>
    <x v="0"/>
    <s v="Ha cada vez mais assédio"/>
    <x v="2"/>
    <m/>
  </r>
  <r>
    <n v="44525.388150567131"/>
    <m/>
    <x v="0"/>
    <x v="0"/>
    <x v="0"/>
    <x v="0"/>
    <x v="3"/>
    <s v="Acompanhad@, de carro"/>
    <s v="Não"/>
    <m/>
    <x v="0"/>
    <x v="0"/>
    <s v="Não"/>
    <x v="1"/>
    <m/>
    <x v="0"/>
    <m/>
  </r>
  <r>
    <n v="44525.41463954861"/>
    <m/>
    <x v="1"/>
    <x v="1"/>
    <x v="0"/>
    <x v="2"/>
    <x v="1"/>
    <s v="Acompanhad@, de transportes públicos"/>
    <s v="Não"/>
    <m/>
    <x v="0"/>
    <x v="1"/>
    <m/>
    <x v="1"/>
    <m/>
    <x v="0"/>
    <m/>
  </r>
  <r>
    <n v="44525.589789675927"/>
    <m/>
    <x v="0"/>
    <x v="0"/>
    <x v="0"/>
    <x v="2"/>
    <x v="1"/>
    <s v="Acompanhad@, a pé"/>
    <s v="Sim"/>
    <s v="Andei mais rápido"/>
    <x v="2"/>
    <x v="0"/>
    <s v="Não"/>
    <x v="0"/>
    <s v="Homens."/>
    <x v="1"/>
    <m/>
  </r>
  <r>
    <n v="44525.610940844912"/>
    <m/>
    <x v="0"/>
    <x v="0"/>
    <x v="0"/>
    <x v="2"/>
    <x v="0"/>
    <s v="Sozinh@, de carro"/>
    <s v="Sim"/>
    <m/>
    <x v="0"/>
    <x v="0"/>
    <s v="Sim"/>
    <x v="1"/>
    <m/>
    <x v="1"/>
    <m/>
  </r>
  <r>
    <n v="44525.672710949075"/>
    <m/>
    <x v="0"/>
    <x v="0"/>
    <x v="0"/>
    <x v="2"/>
    <x v="2"/>
    <s v="Acompanhad@, a pé"/>
    <s v="Sim"/>
    <s v="Chaves no meio dos dedos, chamada com amigos(as)"/>
    <x v="2"/>
    <x v="0"/>
    <s v="Sim"/>
    <x v="0"/>
    <s v="Men are trash. Piropos aqui e ali, abordagens desnecessárias. Apalpões inesperados. Ameaça de violência, verbal e fisicamente."/>
    <x v="1"/>
    <m/>
  </r>
  <r>
    <n v="44525.685270162037"/>
    <m/>
    <x v="1"/>
    <x v="1"/>
    <x v="0"/>
    <x v="3"/>
    <x v="0"/>
    <s v="Acompanhad@, de carro"/>
    <s v="Não"/>
    <m/>
    <x v="0"/>
    <x v="1"/>
    <m/>
    <x v="1"/>
    <m/>
    <x v="0"/>
    <m/>
  </r>
  <r>
    <n v="44525.704369710649"/>
    <m/>
    <x v="0"/>
    <x v="0"/>
    <x v="0"/>
    <x v="10"/>
    <x v="0"/>
    <s v="Sozinh@, a pé"/>
    <s v="Sim"/>
    <s v="Andar mais rápido, estar atenta, fazer chamadas para alguém..."/>
    <x v="0"/>
    <x v="1"/>
    <m/>
    <x v="1"/>
    <m/>
    <x v="0"/>
    <m/>
  </r>
  <r>
    <n v="44525.774740914349"/>
    <m/>
    <x v="0"/>
    <x v="0"/>
    <x v="0"/>
    <x v="1"/>
    <x v="2"/>
    <s v="Sozinh@, a pé"/>
    <s v="Sim"/>
    <s v="Continuei a caminhar, uma das vezes mudei o caminho. Noutra situação liguei para me virem buscar de carro não atenderam então liguei a uma amiga que foi comigo ao telefone até chegar a casa"/>
    <x v="2"/>
    <x v="0"/>
    <s v="Não"/>
    <x v="0"/>
    <s v="Como rapariga não me sinto à vontade a ser deixada sozinha por algum tempo ou de beber, sobretudo estar sozinha o mínimo de tempo que seja enquanto o mínimo embriagada que seja"/>
    <x v="2"/>
    <m/>
  </r>
  <r>
    <n v="44525.84740731481"/>
    <m/>
    <x v="0"/>
    <x v="0"/>
    <x v="1"/>
    <x v="0"/>
    <x v="0"/>
    <s v="Sozinh@, a pé"/>
    <s v="Não"/>
    <m/>
    <x v="0"/>
    <x v="1"/>
    <s v="Não"/>
    <x v="1"/>
    <m/>
    <x v="1"/>
    <m/>
  </r>
  <r>
    <n v="44525.931059837967"/>
    <m/>
    <x v="1"/>
    <x v="0"/>
    <x v="1"/>
    <x v="5"/>
    <x v="2"/>
    <s v="Acompanhad@, de carro"/>
    <s v="Não"/>
    <m/>
    <x v="0"/>
    <x v="1"/>
    <m/>
    <x v="1"/>
    <m/>
    <x v="1"/>
    <m/>
  </r>
  <r>
    <n v="44526.371801435183"/>
    <m/>
    <x v="0"/>
    <x v="0"/>
    <x v="0"/>
    <x v="1"/>
    <x v="1"/>
    <s v="Acompanhad@, de carro"/>
    <s v="Sim"/>
    <s v="Mantive-me em chamada para caso me acontecesse alguma coisa alguém saber"/>
    <x v="0"/>
    <x v="0"/>
    <s v="Sim"/>
    <x v="1"/>
    <m/>
    <x v="1"/>
    <m/>
  </r>
  <r>
    <n v="44526.805540532412"/>
    <m/>
    <x v="0"/>
    <x v="0"/>
    <x v="0"/>
    <x v="2"/>
    <x v="1"/>
    <s v="Acompanhad@, a pé"/>
    <s v="Sim"/>
    <s v="Tentei chegar o mais depressa possível ao destino"/>
    <x v="1"/>
    <x v="1"/>
    <m/>
    <x v="0"/>
    <s v="Por causa de histórias que já ouvi"/>
    <x v="0"/>
    <m/>
  </r>
  <r>
    <n v="44526.838709062504"/>
    <m/>
    <x v="0"/>
    <x v="0"/>
    <x v="1"/>
    <x v="3"/>
    <x v="2"/>
    <s v="Acompanhad@, de carro"/>
    <s v="Sim"/>
    <s v="Telemóvel na mão e extrema atenção ao contexto"/>
    <x v="2"/>
    <x v="0"/>
    <s v="Não"/>
    <x v="0"/>
    <s v="Tenho medo de ser abordada por alguém com más intenções."/>
    <x v="1"/>
    <m/>
  </r>
  <r>
    <n v="44526.886599305551"/>
    <m/>
    <x v="0"/>
    <x v="0"/>
    <x v="0"/>
    <x v="2"/>
    <x v="0"/>
    <s v="Acompanhad@, de carro"/>
    <s v="Sim"/>
    <s v="Liguei para uns amigos"/>
    <x v="2"/>
    <x v="1"/>
    <m/>
    <x v="1"/>
    <m/>
    <x v="0"/>
    <m/>
  </r>
  <r>
    <n v="44526.888869351853"/>
    <m/>
    <x v="0"/>
    <x v="0"/>
    <x v="0"/>
    <x v="0"/>
    <x v="0"/>
    <s v="Acompanhad@, de carro"/>
    <s v="Sim"/>
    <s v="Continuei a andar"/>
    <x v="1"/>
    <x v="1"/>
    <m/>
    <x v="1"/>
    <m/>
    <x v="0"/>
    <m/>
  </r>
  <r>
    <n v="44528.635805937505"/>
    <m/>
    <x v="1"/>
    <x v="5"/>
    <x v="0"/>
    <x v="3"/>
    <x v="1"/>
    <s v="Sozinh@, de carro"/>
    <s v="Não"/>
    <m/>
    <x v="2"/>
    <x v="1"/>
    <s v="Não"/>
    <x v="2"/>
    <m/>
    <x v="0"/>
    <m/>
  </r>
  <r>
    <n v="44528.648531064813"/>
    <m/>
    <x v="0"/>
    <x v="0"/>
    <x v="0"/>
    <x v="2"/>
    <x v="0"/>
    <s v="Acompanhad@, a pé"/>
    <s v="Sim"/>
    <s v="Continuei a andar"/>
    <x v="2"/>
    <x v="0"/>
    <s v="Não"/>
    <x v="0"/>
    <s v="Não há muito policiamento"/>
    <x v="0"/>
    <m/>
  </r>
  <r>
    <n v="44528.650492291665"/>
    <m/>
    <x v="0"/>
    <x v="3"/>
    <x v="0"/>
    <x v="6"/>
    <x v="1"/>
    <s v="Acompanhad@, a pé"/>
    <s v="Não"/>
    <m/>
    <x v="1"/>
    <x v="0"/>
    <m/>
    <x v="1"/>
    <m/>
    <x v="0"/>
    <m/>
  </r>
  <r>
    <n v="44528.650535636574"/>
    <m/>
    <x v="1"/>
    <x v="0"/>
    <x v="0"/>
    <x v="3"/>
    <x v="0"/>
    <s v="Acompanhad@, de carro"/>
    <s v="Não"/>
    <m/>
    <x v="2"/>
    <x v="1"/>
    <m/>
    <x v="1"/>
    <m/>
    <x v="0"/>
    <m/>
  </r>
  <r>
    <n v="44528.652084467598"/>
    <m/>
    <x v="1"/>
    <x v="0"/>
    <x v="0"/>
    <x v="6"/>
    <x v="0"/>
    <s v="Acompanhad@, de carro"/>
    <s v="Não"/>
    <m/>
    <x v="1"/>
    <x v="1"/>
    <m/>
    <x v="2"/>
    <m/>
    <x v="2"/>
    <m/>
  </r>
  <r>
    <n v="44528.652404456021"/>
    <m/>
    <x v="1"/>
    <x v="4"/>
    <x v="0"/>
    <x v="1"/>
    <x v="0"/>
    <s v="Sozinh@, de transportes públicos"/>
    <s v="Sim"/>
    <s v="Mantive a calma e tentei andar por zonas com mais pessoas."/>
    <x v="0"/>
    <x v="1"/>
    <m/>
    <x v="1"/>
    <m/>
    <x v="2"/>
    <m/>
  </r>
  <r>
    <n v="44528.663063113425"/>
    <m/>
    <x v="0"/>
    <x v="2"/>
    <x v="1"/>
    <x v="5"/>
    <x v="4"/>
    <s v="Acompanhad@, de carro"/>
    <s v="Sim"/>
    <s v="Tentei andar mais rápido e peguei nas chaves de casa para ter alguma coisa com que me defender. Também costumo ligar a alguém para que não me sinta sozinha"/>
    <x v="2"/>
    <x v="0"/>
    <s v="Sim"/>
    <x v="0"/>
    <s v="Sinto que, a qualquer momento, posso ser vítima de algum tipo de agressão"/>
    <x v="1"/>
    <m/>
  </r>
  <r>
    <n v="44528.66665136574"/>
    <m/>
    <x v="0"/>
    <x v="0"/>
    <x v="0"/>
    <x v="6"/>
    <x v="1"/>
    <s v="Acompanhad@, de carro"/>
    <m/>
    <m/>
    <x v="0"/>
    <x v="0"/>
    <s v="Sim"/>
    <x v="1"/>
    <m/>
    <x v="0"/>
    <m/>
  </r>
  <r>
    <n v="44528.668661736112"/>
    <m/>
    <x v="1"/>
    <x v="1"/>
    <x v="0"/>
    <x v="11"/>
    <x v="0"/>
    <s v="Sozinh@, a pé"/>
    <s v="Não"/>
    <m/>
    <x v="0"/>
    <x v="0"/>
    <s v="Sim"/>
    <x v="1"/>
    <m/>
    <x v="1"/>
    <m/>
  </r>
  <r>
    <n v="44528.66889883102"/>
    <m/>
    <x v="1"/>
    <x v="2"/>
    <x v="0"/>
    <x v="3"/>
    <x v="0"/>
    <s v="Sozinh@, de carro"/>
    <s v="Não"/>
    <m/>
    <x v="1"/>
    <x v="1"/>
    <m/>
    <x v="2"/>
    <m/>
    <x v="0"/>
    <m/>
  </r>
  <r>
    <n v="44528.670136365741"/>
    <m/>
    <x v="0"/>
    <x v="0"/>
    <x v="1"/>
    <x v="3"/>
    <x v="1"/>
    <s v="Acompanhad@, de carro"/>
    <s v="Sim"/>
    <m/>
    <x v="1"/>
    <x v="0"/>
    <m/>
    <x v="0"/>
    <m/>
    <x v="1"/>
    <m/>
  </r>
  <r>
    <n v="44522.965223946754"/>
    <m/>
    <x v="0"/>
    <x v="2"/>
    <x v="0"/>
    <x v="2"/>
    <x v="0"/>
    <s v="Acompanhad@, a pé"/>
    <s v="Sim"/>
    <s v="liguei a alguém"/>
    <x v="0"/>
    <x v="0"/>
    <s v="Sim"/>
    <x v="1"/>
    <m/>
    <x v="1"/>
    <m/>
  </r>
  <r>
    <n v="44528.675081527777"/>
    <m/>
    <x v="1"/>
    <x v="0"/>
    <x v="0"/>
    <x v="2"/>
    <x v="0"/>
    <s v="Acompanhad@, a pé"/>
    <s v="Sim"/>
    <s v="Fiz o caminho normal, apenas tive uma maior precaução e tento acelerar o passo"/>
    <x v="2"/>
    <x v="1"/>
    <m/>
    <x v="1"/>
    <m/>
    <x v="0"/>
    <m/>
  </r>
  <r>
    <n v="44528.676993090281"/>
    <m/>
    <x v="0"/>
    <x v="0"/>
    <x v="1"/>
    <x v="1"/>
    <x v="2"/>
    <s v="Acompanhad@, de carro"/>
    <s v="Não"/>
    <m/>
    <x v="2"/>
    <x v="0"/>
    <s v="Sim"/>
    <x v="1"/>
    <m/>
    <x v="0"/>
    <m/>
  </r>
  <r>
    <n v="44528.680170046297"/>
    <m/>
    <x v="0"/>
    <x v="0"/>
    <x v="1"/>
    <x v="2"/>
    <x v="2"/>
    <s v="Acompanhad@, de carro"/>
    <s v="Sim"/>
    <s v="Continuei o meu caminho"/>
    <x v="1"/>
    <x v="0"/>
    <s v="Sim"/>
    <x v="1"/>
    <m/>
    <x v="0"/>
    <m/>
  </r>
  <r>
    <n v="44528.703445810184"/>
    <m/>
    <x v="1"/>
    <x v="1"/>
    <x v="0"/>
    <x v="2"/>
    <x v="0"/>
    <s v="Acompanhad@, a pé"/>
    <s v="Não"/>
    <m/>
    <x v="1"/>
    <x v="1"/>
    <m/>
    <x v="1"/>
    <m/>
    <x v="1"/>
    <m/>
  </r>
  <r>
    <n v="44528.83"/>
    <m/>
    <x v="1"/>
    <x v="1"/>
    <x v="0"/>
    <x v="1"/>
    <x v="1"/>
    <s v="Acompanhad@, de carro"/>
    <s v="Não"/>
    <m/>
    <x v="2"/>
    <x v="1"/>
    <m/>
    <x v="2"/>
    <m/>
    <x v="0"/>
    <m/>
  </r>
  <r>
    <n v="44522.965229421301"/>
    <m/>
    <x v="0"/>
    <x v="0"/>
    <x v="0"/>
    <x v="1"/>
    <x v="0"/>
    <s v="Acompanhad@, de carro"/>
    <s v="Sim"/>
    <m/>
    <x v="2"/>
    <x v="0"/>
    <s v="Sim"/>
    <x v="1"/>
    <m/>
    <x v="1"/>
    <m/>
  </r>
  <r>
    <n v="44522.965229895832"/>
    <m/>
    <x v="1"/>
    <x v="1"/>
    <x v="0"/>
    <x v="2"/>
    <x v="2"/>
    <s v="Acompanhad@, a pé"/>
    <s v="Não"/>
    <m/>
    <x v="2"/>
    <x v="1"/>
    <m/>
    <x v="1"/>
    <m/>
    <x v="0"/>
    <m/>
  </r>
  <r>
    <n v="44522.966295300925"/>
    <m/>
    <x v="0"/>
    <x v="1"/>
    <x v="1"/>
    <x v="5"/>
    <x v="4"/>
    <m/>
    <m/>
    <m/>
    <x v="1"/>
    <x v="0"/>
    <s v="Não"/>
    <x v="1"/>
    <m/>
    <x v="1"/>
    <m/>
  </r>
  <r>
    <n v="44522.967034409725"/>
    <m/>
    <x v="0"/>
    <x v="0"/>
    <x v="0"/>
    <x v="2"/>
    <x v="3"/>
    <s v="Acompanhad@, a pé"/>
    <s v="Sim"/>
    <s v="liguei a um amigo"/>
    <x v="2"/>
    <x v="0"/>
    <s v="Sim"/>
    <x v="1"/>
    <m/>
    <x v="0"/>
    <m/>
  </r>
  <r>
    <n v="44522.968183402772"/>
    <m/>
    <x v="1"/>
    <x v="3"/>
    <x v="0"/>
    <x v="3"/>
    <x v="3"/>
    <s v="Acompanhad@, de carro"/>
    <s v="Não"/>
    <m/>
    <x v="1"/>
    <x v="1"/>
    <m/>
    <x v="1"/>
    <m/>
    <x v="1"/>
    <m/>
  </r>
  <r>
    <n v="44522.968601562505"/>
    <m/>
    <x v="0"/>
    <x v="1"/>
    <x v="0"/>
    <x v="2"/>
    <x v="0"/>
    <s v="Acompanhad@, a pé"/>
    <s v="Sim"/>
    <m/>
    <x v="2"/>
    <x v="0"/>
    <s v="Sim"/>
    <x v="1"/>
    <m/>
    <x v="1"/>
    <m/>
  </r>
  <r>
    <n v="44522.969373020838"/>
    <m/>
    <x v="1"/>
    <x v="1"/>
    <x v="0"/>
    <x v="2"/>
    <x v="3"/>
    <s v="Sozinh@, a pé"/>
    <s v="Não"/>
    <m/>
    <x v="2"/>
    <x v="0"/>
    <s v="Sim"/>
    <x v="1"/>
    <m/>
    <x v="0"/>
    <m/>
  </r>
  <r>
    <n v="44522.972916331018"/>
    <m/>
    <x v="1"/>
    <x v="0"/>
    <x v="0"/>
    <x v="3"/>
    <x v="0"/>
    <s v="Acompanhad@, a pé"/>
    <s v="Não"/>
    <m/>
    <x v="1"/>
    <x v="1"/>
    <m/>
    <x v="1"/>
    <m/>
    <x v="0"/>
    <m/>
  </r>
  <r>
    <n v="44522.973417835645"/>
    <m/>
    <x v="0"/>
    <x v="1"/>
    <x v="1"/>
    <x v="5"/>
    <x v="4"/>
    <s v="Acompanhad@, a pé"/>
    <s v="Sim"/>
    <s v="Liguei a alguém conhecido"/>
    <x v="0"/>
    <x v="0"/>
    <s v="Não"/>
    <x v="1"/>
    <m/>
    <x v="0"/>
    <m/>
  </r>
  <r>
    <n v="44522.973896249998"/>
    <m/>
    <x v="0"/>
    <x v="0"/>
    <x v="1"/>
    <x v="11"/>
    <x v="2"/>
    <s v="Acompanhad@, de carro"/>
    <s v="Sim"/>
    <s v="Liguei a pessoas para me acompanharem."/>
    <x v="2"/>
    <x v="0"/>
    <s v="Sim"/>
    <x v="0"/>
    <s v="Tenho medo que alguém me viole."/>
    <x v="0"/>
    <s v="Estar sempre a ter cuidado por onde passo, o que tomo, onde deixo o copo, para onde vamos, quem vai, é perigoso ou está gente. Não é fácil ser mulher"/>
  </r>
  <r>
    <n v="44522.977258877319"/>
    <m/>
    <x v="1"/>
    <x v="0"/>
    <x v="0"/>
    <x v="0"/>
    <x v="0"/>
    <s v="Sozinh@, de carro"/>
    <s v="Sim"/>
    <s v="Corri e liguei aos meus pais"/>
    <x v="2"/>
    <x v="1"/>
    <m/>
    <x v="0"/>
    <s v="Homens"/>
    <x v="0"/>
    <m/>
  </r>
  <r>
    <n v="44522.977294583332"/>
    <m/>
    <x v="0"/>
    <x v="1"/>
    <x v="0"/>
    <x v="1"/>
    <x v="0"/>
    <s v="Acompanhad@, de transportes públicos"/>
    <s v="Sim"/>
    <s v="Liguei para alguém"/>
    <x v="0"/>
    <x v="1"/>
    <m/>
    <x v="0"/>
    <s v="É uma cidade grande e têm havidos mais crimes"/>
    <x v="0"/>
    <m/>
  </r>
  <r>
    <n v="44522.977547754628"/>
    <m/>
    <x v="1"/>
    <x v="1"/>
    <x v="0"/>
    <x v="3"/>
    <x v="1"/>
    <s v="Acompanhad@, de carro"/>
    <s v="Não"/>
    <m/>
    <x v="2"/>
    <x v="1"/>
    <m/>
    <x v="1"/>
    <m/>
    <x v="0"/>
    <m/>
  </r>
  <r>
    <n v="44522.978066261574"/>
    <m/>
    <x v="0"/>
    <x v="0"/>
    <x v="0"/>
    <x v="2"/>
    <x v="0"/>
    <s v="Acompanhad@, a pé"/>
    <s v="Não"/>
    <m/>
    <x v="2"/>
    <x v="0"/>
    <s v="Sim"/>
    <x v="0"/>
    <s v="Há sempre o risco de ser assaltad@ , perseguida@, violad@ algo que comum infelizmente é muito comum"/>
    <x v="0"/>
    <m/>
  </r>
  <r>
    <n v="44522.978119479165"/>
    <m/>
    <x v="0"/>
    <x v="0"/>
    <x v="0"/>
    <x v="3"/>
    <x v="1"/>
    <s v="Acompanhad@, de carro"/>
    <s v="Sim"/>
    <m/>
    <x v="0"/>
    <x v="1"/>
    <m/>
    <x v="1"/>
    <m/>
    <x v="0"/>
    <m/>
  </r>
  <r>
    <n v="44522.978789768516"/>
    <m/>
    <x v="0"/>
    <x v="1"/>
    <x v="0"/>
    <x v="2"/>
    <x v="0"/>
    <s v="Acompanhad@, de carro"/>
    <s v="Sim"/>
    <s v="Fingir falar ao telemovel com outra pessoa"/>
    <x v="2"/>
    <x v="1"/>
    <m/>
    <x v="1"/>
    <m/>
    <x v="2"/>
    <m/>
  </r>
  <r>
    <n v="44522.978985798611"/>
    <m/>
    <x v="0"/>
    <x v="3"/>
    <x v="0"/>
    <x v="1"/>
    <x v="0"/>
    <s v="Acompanhad@, de carro"/>
    <s v="Sim"/>
    <s v="Tentei andar por lugares iluminados e o mais depressa possível"/>
    <x v="2"/>
    <x v="0"/>
    <s v="Não"/>
    <x v="1"/>
    <m/>
    <x v="0"/>
    <m/>
  </r>
  <r>
    <n v="44522.979557430561"/>
    <m/>
    <x v="1"/>
    <x v="0"/>
    <x v="1"/>
    <x v="5"/>
    <x v="2"/>
    <s v="Acompanhad@, de carro"/>
    <s v="Não"/>
    <m/>
    <x v="2"/>
    <x v="1"/>
    <m/>
    <x v="1"/>
    <m/>
    <x v="1"/>
    <m/>
  </r>
  <r>
    <n v="44522.979974201386"/>
    <m/>
    <x v="0"/>
    <x v="1"/>
    <x v="1"/>
    <x v="5"/>
    <x v="4"/>
    <m/>
    <s v="Sim"/>
    <s v="Acompanhada de objetos de segurança e sempre a desconfiar de perseguições"/>
    <x v="2"/>
    <x v="0"/>
    <s v="Não"/>
    <x v="0"/>
    <m/>
    <x v="1"/>
    <m/>
  </r>
  <r>
    <n v="44522.98041275463"/>
    <m/>
    <x v="1"/>
    <x v="1"/>
    <x v="0"/>
    <x v="6"/>
    <x v="1"/>
    <s v="Acompanhad@, de carro"/>
    <s v="Não"/>
    <m/>
    <x v="1"/>
    <x v="1"/>
    <m/>
    <x v="1"/>
    <m/>
    <x v="1"/>
    <m/>
  </r>
  <r>
    <n v="44522.98070994213"/>
    <m/>
    <x v="0"/>
    <x v="1"/>
    <x v="0"/>
    <x v="2"/>
    <x v="3"/>
    <s v="Acompanhad@, a pé"/>
    <s v="Sim"/>
    <m/>
    <x v="0"/>
    <x v="0"/>
    <s v="Sim"/>
    <x v="1"/>
    <m/>
    <x v="0"/>
    <m/>
  </r>
  <r>
    <n v="44522.983785960649"/>
    <m/>
    <x v="0"/>
    <x v="0"/>
    <x v="0"/>
    <x v="3"/>
    <x v="0"/>
    <s v="Acompanhad@, de carro"/>
    <s v="Não"/>
    <m/>
    <x v="0"/>
    <x v="1"/>
    <m/>
    <x v="1"/>
    <m/>
    <x v="0"/>
    <m/>
  </r>
  <r>
    <n v="44522.988168275464"/>
    <m/>
    <x v="0"/>
    <x v="1"/>
    <x v="0"/>
    <x v="1"/>
    <x v="1"/>
    <s v="Acompanhad@, de carro"/>
    <s v="Sim"/>
    <s v="Tentei deslocar-me o mais rapidamente possível"/>
    <x v="2"/>
    <x v="1"/>
    <m/>
    <x v="1"/>
    <m/>
    <x v="1"/>
    <m/>
  </r>
  <r>
    <n v="44522.98834600694"/>
    <m/>
    <x v="1"/>
    <x v="0"/>
    <x v="0"/>
    <x v="3"/>
    <x v="1"/>
    <s v="Acompanhad@, de carro"/>
    <s v="Não"/>
    <m/>
    <x v="2"/>
    <x v="1"/>
    <m/>
    <x v="1"/>
    <m/>
    <x v="0"/>
    <m/>
  </r>
  <r>
    <n v="44522.989498703704"/>
    <m/>
    <x v="0"/>
    <x v="0"/>
    <x v="0"/>
    <x v="2"/>
    <x v="0"/>
    <s v="Acompanhad@, a pé"/>
    <m/>
    <m/>
    <x v="2"/>
    <x v="0"/>
    <s v="Sim"/>
    <x v="1"/>
    <m/>
    <x v="0"/>
    <m/>
  </r>
  <r>
    <n v="44522.995175856486"/>
    <m/>
    <x v="1"/>
    <x v="1"/>
    <x v="0"/>
    <x v="3"/>
    <x v="0"/>
    <s v="Acompanhad@, de carro"/>
    <s v="Não"/>
    <m/>
    <x v="0"/>
    <x v="1"/>
    <m/>
    <x v="1"/>
    <m/>
    <x v="1"/>
    <m/>
  </r>
  <r>
    <n v="44522.995799884258"/>
    <m/>
    <x v="1"/>
    <x v="1"/>
    <x v="0"/>
    <x v="1"/>
    <x v="1"/>
    <s v="Acompanhad@, de carro"/>
    <s v="Sim"/>
    <s v="Fiz o meu caminho sem incomodar ninguém para casa"/>
    <x v="1"/>
    <x v="1"/>
    <m/>
    <x v="1"/>
    <m/>
    <x v="0"/>
    <m/>
  </r>
  <r>
    <n v="44523.001793055555"/>
    <m/>
    <x v="0"/>
    <x v="1"/>
    <x v="0"/>
    <x v="11"/>
    <x v="3"/>
    <s v="Acompanhad@, de carro"/>
    <s v="Sim"/>
    <s v="Ligar a uma amiga"/>
    <x v="2"/>
    <x v="0"/>
    <s v="Não"/>
    <x v="0"/>
    <s v="Homens"/>
    <x v="0"/>
    <m/>
  </r>
  <r>
    <n v="44523.001940497685"/>
    <m/>
    <x v="0"/>
    <x v="0"/>
    <x v="0"/>
    <x v="3"/>
    <x v="3"/>
    <s v="Sozinh@, de carro"/>
    <s v="Sim"/>
    <m/>
    <x v="2"/>
    <x v="0"/>
    <s v="Sim"/>
    <x v="1"/>
    <m/>
    <x v="0"/>
    <m/>
  </r>
  <r>
    <n v="44523.002034421297"/>
    <m/>
    <x v="0"/>
    <x v="1"/>
    <x v="0"/>
    <x v="3"/>
    <x v="2"/>
    <s v="Acompanhad@, de carro"/>
    <s v="Não"/>
    <m/>
    <x v="2"/>
    <x v="1"/>
    <m/>
    <x v="1"/>
    <m/>
    <x v="0"/>
    <m/>
  </r>
  <r>
    <n v="44523.004756168986"/>
    <m/>
    <x v="0"/>
    <x v="1"/>
    <x v="0"/>
    <x v="3"/>
    <x v="0"/>
    <s v="Acompanhad@, de carro"/>
    <s v="Sim"/>
    <s v="Andei mais rápido"/>
    <x v="0"/>
    <x v="0"/>
    <s v="Não"/>
    <x v="0"/>
    <s v="Devido aos olhares que recebemos na rua, e pelas bocas que recebemos. Temos sempre receio que algo nos aconteça"/>
    <x v="2"/>
    <s v="Estava eu sozinha a noite, quando passa um senhor de bicicleta e me diz “sem top era melhor” obviamente que esta foi uma atitude que mexeu comigo."/>
  </r>
  <r>
    <n v="44523.00878802083"/>
    <m/>
    <x v="1"/>
    <x v="0"/>
    <x v="0"/>
    <x v="2"/>
    <x v="3"/>
    <s v="Sozinh@, a pé"/>
    <s v="Não"/>
    <m/>
    <x v="1"/>
    <x v="0"/>
    <s v="Não"/>
    <x v="1"/>
    <m/>
    <x v="0"/>
    <s v="Ser abordado por pessoas para me assaltante_x000a_Múltiplas vezes"/>
  </r>
  <r>
    <n v="44523.009294108793"/>
    <m/>
    <x v="1"/>
    <x v="1"/>
    <x v="0"/>
    <x v="10"/>
    <x v="0"/>
    <s v="Acompanhad@, de carro"/>
    <s v="Não"/>
    <m/>
    <x v="0"/>
    <x v="1"/>
    <m/>
    <x v="1"/>
    <m/>
    <x v="0"/>
    <m/>
  </r>
  <r>
    <n v="44523.012355208339"/>
    <m/>
    <x v="0"/>
    <x v="1"/>
    <x v="0"/>
    <x v="9"/>
    <x v="3"/>
    <s v="Acompanhad@, a pé"/>
    <s v="Sim"/>
    <m/>
    <x v="2"/>
    <x v="0"/>
    <s v="Sim"/>
    <x v="1"/>
    <m/>
    <x v="0"/>
    <m/>
  </r>
  <r>
    <n v="44523.01573694445"/>
    <m/>
    <x v="0"/>
    <x v="1"/>
    <x v="1"/>
    <x v="2"/>
    <x v="0"/>
    <s v="Acompanhad@, a pé"/>
    <s v="Sim"/>
    <m/>
    <x v="2"/>
    <x v="0"/>
    <s v="Sim"/>
    <x v="1"/>
    <m/>
    <x v="0"/>
    <m/>
  </r>
  <r>
    <n v="44523.018139548614"/>
    <m/>
    <x v="1"/>
    <x v="1"/>
    <x v="0"/>
    <x v="3"/>
    <x v="0"/>
    <s v="Acompanhad@, a pé"/>
    <s v="Não"/>
    <m/>
    <x v="0"/>
    <x v="1"/>
    <s v="Não"/>
    <x v="1"/>
    <m/>
    <x v="2"/>
    <m/>
  </r>
  <r>
    <n v="44523.018377835644"/>
    <m/>
    <x v="0"/>
    <x v="1"/>
    <x v="0"/>
    <x v="2"/>
    <x v="0"/>
    <s v="Acompanhad@, a pé"/>
    <s v="Sim"/>
    <m/>
    <x v="2"/>
    <x v="0"/>
    <s v="Sim"/>
    <x v="1"/>
    <m/>
    <x v="0"/>
    <m/>
  </r>
  <r>
    <n v="44523.018485416665"/>
    <m/>
    <x v="0"/>
    <x v="1"/>
    <x v="0"/>
    <x v="0"/>
    <x v="1"/>
    <s v="Acompanhad@, de carro"/>
    <s v="Sim"/>
    <m/>
    <x v="0"/>
    <x v="0"/>
    <s v="Não"/>
    <x v="0"/>
    <m/>
    <x v="0"/>
    <m/>
  </r>
  <r>
    <n v="44523.01884157407"/>
    <m/>
    <x v="0"/>
    <x v="1"/>
    <x v="1"/>
    <x v="5"/>
    <x v="1"/>
    <s v="Acompanhad@, a pé"/>
    <s v="Não"/>
    <m/>
    <x v="2"/>
    <x v="1"/>
    <m/>
    <x v="1"/>
    <m/>
    <x v="0"/>
    <m/>
  </r>
  <r>
    <n v="44523.020056099536"/>
    <m/>
    <x v="0"/>
    <x v="0"/>
    <x v="0"/>
    <x v="2"/>
    <x v="0"/>
    <s v="Acompanhad@, a pé"/>
    <s v="Sim"/>
    <s v="Já fui seguida até em casa algumas vezes, homens desconhecidos me abordaram e não foram embora após eu deixar claro que estáva desconfortável etc."/>
    <x v="0"/>
    <x v="0"/>
    <s v="Sim"/>
    <x v="1"/>
    <m/>
    <x v="0"/>
    <m/>
  </r>
  <r>
    <n v="44523.039036921298"/>
    <m/>
    <x v="1"/>
    <x v="0"/>
    <x v="0"/>
    <x v="6"/>
    <x v="1"/>
    <s v="Acompanhad@, de carro"/>
    <s v="Não"/>
    <m/>
    <x v="0"/>
    <x v="1"/>
    <m/>
    <x v="1"/>
    <m/>
    <x v="0"/>
    <m/>
  </r>
  <r>
    <n v="44523.04227179398"/>
    <m/>
    <x v="1"/>
    <x v="1"/>
    <x v="0"/>
    <x v="2"/>
    <x v="0"/>
    <s v="Acompanhad@, a pé"/>
    <s v="Não"/>
    <m/>
    <x v="1"/>
    <x v="1"/>
    <m/>
    <x v="1"/>
    <m/>
    <x v="1"/>
    <m/>
  </r>
  <r>
    <n v="44523.042871620375"/>
    <m/>
    <x v="1"/>
    <x v="1"/>
    <x v="0"/>
    <x v="3"/>
    <x v="4"/>
    <s v="Acompanhad@, de carro"/>
    <s v="Não"/>
    <m/>
    <x v="1"/>
    <x v="1"/>
    <m/>
    <x v="1"/>
    <m/>
    <x v="0"/>
    <m/>
  </r>
  <r>
    <n v="44523.046027557866"/>
    <m/>
    <x v="0"/>
    <x v="0"/>
    <x v="0"/>
    <x v="8"/>
    <x v="0"/>
    <s v="Acompanhad@, a pé"/>
    <s v="Sim"/>
    <m/>
    <x v="2"/>
    <x v="0"/>
    <s v="Sim"/>
    <x v="0"/>
    <s v="homens"/>
    <x v="1"/>
    <m/>
  </r>
  <r>
    <n v="44523.071307025464"/>
    <m/>
    <x v="0"/>
    <x v="0"/>
    <x v="0"/>
    <x v="2"/>
    <x v="1"/>
    <s v="Acompanhad@, de carro"/>
    <s v="Sim"/>
    <m/>
    <x v="2"/>
    <x v="0"/>
    <s v="Não"/>
    <x v="0"/>
    <m/>
    <x v="1"/>
    <m/>
  </r>
  <r>
    <n v="44523.074166805556"/>
    <m/>
    <x v="0"/>
    <x v="1"/>
    <x v="0"/>
    <x v="2"/>
    <x v="1"/>
    <s v="Acompanhad@, de carro"/>
    <m/>
    <m/>
    <x v="2"/>
    <x v="0"/>
    <s v="Sim"/>
    <x v="1"/>
    <m/>
    <x v="1"/>
    <m/>
  </r>
  <r>
    <n v="44523.095351157404"/>
    <m/>
    <x v="1"/>
    <x v="1"/>
    <x v="0"/>
    <x v="7"/>
    <x v="0"/>
    <s v="Acompanhad@, de carro"/>
    <s v="Não"/>
    <m/>
    <x v="0"/>
    <x v="1"/>
    <m/>
    <x v="2"/>
    <m/>
    <x v="0"/>
    <m/>
  </r>
  <r>
    <n v="44523.273542291667"/>
    <m/>
    <x v="1"/>
    <x v="0"/>
    <x v="0"/>
    <x v="2"/>
    <x v="3"/>
    <s v="Acompanhad@, a pé"/>
    <s v="Não"/>
    <m/>
    <x v="2"/>
    <x v="1"/>
    <m/>
    <x v="1"/>
    <m/>
    <x v="0"/>
    <s v="Roubaram me o tele dps de eu o deixar cair sem dar conta"/>
  </r>
  <r>
    <n v="44523.285449583331"/>
    <m/>
    <x v="1"/>
    <x v="0"/>
    <x v="0"/>
    <x v="3"/>
    <x v="0"/>
    <s v="Acompanhad@, de carro"/>
    <s v="Não"/>
    <m/>
    <x v="0"/>
    <x v="1"/>
    <m/>
    <x v="1"/>
    <m/>
    <x v="0"/>
    <m/>
  </r>
  <r>
    <n v="44523.308254907402"/>
    <m/>
    <x v="0"/>
    <x v="0"/>
    <x v="0"/>
    <x v="2"/>
    <x v="0"/>
    <s v="Acompanhad@, a pé"/>
    <s v="Sim"/>
    <m/>
    <x v="0"/>
    <x v="0"/>
    <s v="Sim"/>
    <x v="1"/>
    <m/>
    <x v="2"/>
    <m/>
  </r>
  <r>
    <n v="44523.315758958328"/>
    <m/>
    <x v="0"/>
    <x v="3"/>
    <x v="0"/>
    <x v="3"/>
    <x v="1"/>
    <s v="Acompanhad@, de carro"/>
    <s v="Sim"/>
    <s v="tentei arranjar alguém para falar comigo ao telemóvel enquanto eu me deslocava para o local que eu desejava"/>
    <x v="0"/>
    <x v="0"/>
    <s v="Sim"/>
    <x v="0"/>
    <m/>
    <x v="1"/>
    <m/>
  </r>
  <r>
    <n v="44523.351925636569"/>
    <m/>
    <x v="0"/>
    <x v="0"/>
    <x v="0"/>
    <x v="2"/>
    <x v="1"/>
    <s v="Acompanhad@, a pé"/>
    <s v="Sim"/>
    <s v="Continuei, ou troquei de caminho por receio"/>
    <x v="0"/>
    <x v="0"/>
    <s v="Não"/>
    <x v="0"/>
    <s v="Homens"/>
    <x v="0"/>
    <m/>
  </r>
  <r>
    <n v="44523.352468344907"/>
    <m/>
    <x v="0"/>
    <x v="0"/>
    <x v="0"/>
    <x v="2"/>
    <x v="0"/>
    <s v="Acompanhad@, de transportes públicos"/>
    <s v="Sim"/>
    <m/>
    <x v="1"/>
    <x v="0"/>
    <s v="Não"/>
    <x v="1"/>
    <m/>
    <x v="1"/>
    <m/>
  </r>
  <r>
    <n v="44523.368944560185"/>
    <m/>
    <x v="0"/>
    <x v="0"/>
    <x v="0"/>
    <x v="3"/>
    <x v="3"/>
    <s v="Acompanhad@, de carro"/>
    <s v="Sim"/>
    <s v="Liguei a amigos para assegurar que chegava a casa bem"/>
    <x v="2"/>
    <x v="0"/>
    <s v="Sim"/>
    <x v="0"/>
    <s v="Pelo facto de estarem a acontecer imensas violações, raptos e/ou roubos."/>
    <x v="0"/>
    <m/>
  </r>
  <r>
    <n v="44523.371320995371"/>
    <m/>
    <x v="1"/>
    <x v="0"/>
    <x v="1"/>
    <x v="1"/>
    <x v="2"/>
    <s v="Acompanhad@, de carro"/>
    <s v="Não"/>
    <m/>
    <x v="0"/>
    <x v="1"/>
    <m/>
    <x v="1"/>
    <m/>
    <x v="1"/>
    <m/>
  </r>
  <r>
    <n v="44523.377405104169"/>
    <m/>
    <x v="0"/>
    <x v="0"/>
    <x v="0"/>
    <x v="1"/>
    <x v="1"/>
    <s v="Acompanhad@, de carro"/>
    <s v="Sim"/>
    <m/>
    <x v="2"/>
    <x v="0"/>
    <s v="Sim"/>
    <x v="0"/>
    <m/>
    <x v="1"/>
    <m/>
  </r>
  <r>
    <n v="44523.380252013885"/>
    <m/>
    <x v="1"/>
    <x v="0"/>
    <x v="0"/>
    <x v="2"/>
    <x v="0"/>
    <s v="Sozinh@, de carro"/>
    <s v="Não"/>
    <m/>
    <x v="2"/>
    <x v="1"/>
    <m/>
    <x v="1"/>
    <m/>
    <x v="0"/>
    <s v="uma vez fui sair a noite, em coimbra. estava fora de uma discoteca que há aqui em coimbra, e um homem foi baleado e morto, o caso foi bastante falado em coimbra e no país em geral. como é obvio senti-me inseguro e com medo, visto que o assassino foi eu co"/>
  </r>
  <r>
    <n v="44523.389113726851"/>
    <m/>
    <x v="0"/>
    <x v="4"/>
    <x v="0"/>
    <x v="1"/>
    <x v="0"/>
    <s v="Acompanhad@, de carro"/>
    <s v="Sim"/>
    <m/>
    <x v="1"/>
    <x v="1"/>
    <m/>
    <x v="1"/>
    <m/>
    <x v="1"/>
    <m/>
  </r>
  <r>
    <n v="44523.39411898148"/>
    <m/>
    <x v="1"/>
    <x v="1"/>
    <x v="0"/>
    <x v="3"/>
    <x v="0"/>
    <s v="Sozinh@, de carro"/>
    <s v="Não"/>
    <m/>
    <x v="0"/>
    <x v="1"/>
    <s v="Não"/>
    <x v="1"/>
    <m/>
    <x v="0"/>
    <m/>
  </r>
  <r>
    <n v="44523.407182673611"/>
    <m/>
    <x v="0"/>
    <x v="3"/>
    <x v="0"/>
    <x v="3"/>
    <x v="0"/>
    <s v="Acompanhad@, de carro"/>
    <s v="Sim"/>
    <m/>
    <x v="0"/>
    <x v="0"/>
    <s v="Não"/>
    <x v="1"/>
    <m/>
    <x v="0"/>
    <m/>
  </r>
  <r>
    <n v="44523.40888743056"/>
    <m/>
    <x v="0"/>
    <x v="0"/>
    <x v="0"/>
    <x v="3"/>
    <x v="1"/>
    <s v="Acompanhad@, de carro"/>
    <s v="Não"/>
    <m/>
    <x v="0"/>
    <x v="1"/>
    <m/>
    <x v="1"/>
    <m/>
    <x v="0"/>
    <m/>
  </r>
  <r>
    <n v="44523.410629085643"/>
    <m/>
    <x v="0"/>
    <x v="0"/>
    <x v="0"/>
    <x v="3"/>
    <x v="1"/>
    <s v="Acompanhad@, de carro"/>
    <s v="Sim"/>
    <m/>
    <x v="2"/>
    <x v="0"/>
    <s v="Sim"/>
    <x v="1"/>
    <m/>
    <x v="2"/>
    <m/>
  </r>
  <r>
    <n v="44523.412223634259"/>
    <m/>
    <x v="0"/>
    <x v="0"/>
    <x v="0"/>
    <x v="2"/>
    <x v="1"/>
    <s v="Sozinh@, de transportes públicos"/>
    <s v="Sim"/>
    <s v="Ligar a alguém"/>
    <x v="0"/>
    <x v="1"/>
    <m/>
    <x v="1"/>
    <m/>
    <x v="0"/>
    <m/>
  </r>
  <r>
    <n v="44523.412397025459"/>
    <m/>
    <x v="0"/>
    <x v="0"/>
    <x v="0"/>
    <x v="12"/>
    <x v="1"/>
    <s v="Acompanhad@, a pé"/>
    <s v="Sim"/>
    <m/>
    <x v="0"/>
    <x v="0"/>
    <s v="Não"/>
    <x v="1"/>
    <m/>
    <x v="1"/>
    <m/>
  </r>
  <r>
    <n v="44523.41295510417"/>
    <m/>
    <x v="0"/>
    <x v="0"/>
    <x v="0"/>
    <x v="12"/>
    <x v="1"/>
    <s v="Acompanhad@, a pé"/>
    <s v="Sim"/>
    <m/>
    <x v="0"/>
    <x v="0"/>
    <s v="Não"/>
    <x v="1"/>
    <m/>
    <x v="1"/>
    <m/>
  </r>
  <r>
    <n v="44523.41937570602"/>
    <m/>
    <x v="0"/>
    <x v="0"/>
    <x v="0"/>
    <x v="2"/>
    <x v="0"/>
    <s v="Acompanhad@, a pé"/>
    <s v="Não"/>
    <m/>
    <x v="0"/>
    <x v="1"/>
    <m/>
    <x v="1"/>
    <m/>
    <x v="0"/>
    <m/>
  </r>
  <r>
    <n v="44523.420359131946"/>
    <m/>
    <x v="1"/>
    <x v="0"/>
    <x v="0"/>
    <x v="3"/>
    <x v="0"/>
    <s v="Acompanhad@, de carro"/>
    <s v="Não"/>
    <m/>
    <x v="1"/>
    <x v="1"/>
    <m/>
    <x v="2"/>
    <m/>
    <x v="2"/>
    <m/>
  </r>
  <r>
    <n v="44523.420592430557"/>
    <m/>
    <x v="1"/>
    <x v="0"/>
    <x v="0"/>
    <x v="3"/>
    <x v="1"/>
    <s v="Acompanhad@, de carro"/>
    <s v="Não"/>
    <m/>
    <x v="1"/>
    <x v="1"/>
    <m/>
    <x v="2"/>
    <m/>
    <x v="2"/>
    <m/>
  </r>
  <r>
    <n v="44523.423445173612"/>
    <m/>
    <x v="1"/>
    <x v="0"/>
    <x v="0"/>
    <x v="6"/>
    <x v="2"/>
    <s v="Acompanhad@, de carro"/>
    <s v="Não"/>
    <m/>
    <x v="2"/>
    <x v="0"/>
    <s v="Sim"/>
    <x v="1"/>
    <m/>
    <x v="0"/>
    <m/>
  </r>
  <r>
    <n v="44523.42404380787"/>
    <m/>
    <x v="0"/>
    <x v="0"/>
    <x v="1"/>
    <x v="5"/>
    <x v="1"/>
    <s v="Acompanhad@, de transportes públicos"/>
    <s v="Sim"/>
    <m/>
    <x v="0"/>
    <x v="1"/>
    <m/>
    <x v="1"/>
    <m/>
    <x v="1"/>
    <m/>
  </r>
  <r>
    <n v="44523.427895937501"/>
    <m/>
    <x v="0"/>
    <x v="1"/>
    <x v="0"/>
    <x v="3"/>
    <x v="0"/>
    <s v="Sozinh@, de carro"/>
    <s v="Não"/>
    <m/>
    <x v="1"/>
    <x v="0"/>
    <s v="Sim"/>
    <x v="1"/>
    <m/>
    <x v="1"/>
    <m/>
  </r>
  <r>
    <n v="44523.42846520833"/>
    <m/>
    <x v="0"/>
    <x v="0"/>
    <x v="0"/>
    <x v="2"/>
    <x v="0"/>
    <s v="Acompanhad@, a pé"/>
    <s v="Sim"/>
    <m/>
    <x v="1"/>
    <x v="0"/>
    <m/>
    <x v="0"/>
    <s v="Na vida noturna tudo pode acontecer e não há vigilância nas ruas"/>
    <x v="1"/>
    <m/>
  </r>
  <r>
    <n v="44523.428721273143"/>
    <m/>
    <x v="0"/>
    <x v="0"/>
    <x v="0"/>
    <x v="0"/>
    <x v="0"/>
    <s v="Acompanhad@, de carro"/>
    <s v="Não"/>
    <m/>
    <x v="2"/>
    <x v="0"/>
    <s v="Não"/>
    <x v="1"/>
    <m/>
    <x v="0"/>
    <m/>
  </r>
  <r>
    <n v="44523.429406296302"/>
    <m/>
    <x v="1"/>
    <x v="4"/>
    <x v="0"/>
    <x v="0"/>
    <x v="0"/>
    <s v="Acompanhad@, de carro"/>
    <s v="Sim"/>
    <s v="Segui o caminho que tinha a fazer sempre com o telemóvel na mão caso viesse ou sentisse que iria acontecer alguma coisa, ou estar em chamada com alguém para me sentir menos só e ser mais fácil reportar caso acontecesse alguma coisa"/>
    <x v="0"/>
    <x v="1"/>
    <m/>
    <x v="1"/>
    <m/>
    <x v="0"/>
    <m/>
  </r>
  <r>
    <n v="44523.432162314813"/>
    <m/>
    <x v="1"/>
    <x v="1"/>
    <x v="0"/>
    <x v="3"/>
    <x v="3"/>
    <s v="Sozinh@, de carro"/>
    <s v="Não"/>
    <m/>
    <x v="1"/>
    <x v="1"/>
    <s v="Não"/>
    <x v="1"/>
    <m/>
    <x v="0"/>
    <m/>
  </r>
  <r>
    <n v="44523.432813206018"/>
    <m/>
    <x v="0"/>
    <x v="0"/>
    <x v="0"/>
    <x v="3"/>
    <x v="1"/>
    <s v="Acompanhad@, de carro"/>
    <s v="Não"/>
    <m/>
    <x v="1"/>
    <x v="0"/>
    <s v="Sim"/>
    <x v="1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s dinâmicas 8" cacheId="11" applyNumberFormats="0" applyBorderFormats="0" applyFontFormats="0" applyPatternFormats="0" applyAlignmentFormats="0" applyWidthHeightFormats="0" dataCaption="" updatedVersion="6" compact="0" compactData="0">
  <location ref="AK28:AN43" firstHeaderRow="1" firstDataRow="2" firstDataCol="1"/>
  <pivotFields count="17">
    <pivotField name="Carimbo de data/hora" compact="0" numFmtId="4" outline="0" multipleItemSelectionAllowed="1" showAll="0"/>
    <pivotField name="Endereço de email" compact="0" outline="0" multipleItemSelectionAllowed="1" showAll="0"/>
    <pivotField name="Com que género se identifica?" compact="0" numFmtId="4" outline="0" multipleItemSelectionAllowed="1" showAll="0"/>
    <pivotField name="Qual a sua faixa etária?" compact="0" numFmtId="4" outline="0" multipleItemSelectionAllowed="1" showAll="0"/>
    <pivotField name="Costuma sair à noite?" compact="0" numFmtId="4" outline="0" multipleItemSelectionAllowed="1" showAll="0"/>
    <pivotField name="Se sim, em que distrito? (o mais frequente)" axis="axisRow" compact="0" numFmtId="4" outline="0" multipleItemSelectionAllowed="1" showAll="0" sortType="ascending">
      <items count="14">
        <item x="0"/>
        <item x="6"/>
        <item x="4"/>
        <item x="10"/>
        <item x="2"/>
        <item x="12"/>
        <item x="11"/>
        <item x="7"/>
        <item x="1"/>
        <item x="3"/>
        <item x="8"/>
        <item x="9"/>
        <item x="5"/>
        <item t="default"/>
      </items>
    </pivotField>
    <pivotField name="Com que frequência?" compact="0" numFmtId="4" outline="0" multipleItemSelectionAllowed="1" showAll="0"/>
    <pivotField name="Como se desloca quando sai à noite? ( escolha o mais frequente)" compact="0" numFmtId="4" outline="0" multipleItemSelectionAllowed="1" showAll="0"/>
    <pivotField name="Se já alguma vez se deslocou sozinh@ ,sentiu medo?" compact="0" numFmtId="4" outline="0" multipleItemSelectionAllowed="1" showAll="0"/>
    <pivotField name="Se respondeu &quot;Sim&quot; na pergunta anterior, como procedeu?" compact="0" numFmtId="4" outline="0" multipleItemSelectionAllowed="1" showAll="0"/>
    <pivotField name="Tem ou pretende ter objetos de defesa?" compact="0" numFmtId="4" outline="0" multipleItemSelectionAllowed="1" showAll="0"/>
    <pivotField name="Alguma vez foi vítima de assédio?" axis="axisCol" dataField="1" compact="0" numFmtId="4" outline="0" multipleItemSelectionAllowed="1" showAll="0" sortType="ascending">
      <items count="3">
        <item x="1"/>
        <item x="0"/>
        <item t="default"/>
      </items>
    </pivotField>
    <pivotField name="Se respondeu &quot;Sim&quot;, alguém o ajudou ou conseguiu fugir?" compact="0" numFmtId="4" outline="0" multipleItemSelectionAllowed="1" showAll="0"/>
    <pivotField name="Quando sai à noite, como é que se sente?" compact="0" numFmtId="4" outline="0" multipleItemSelectionAllowed="1" showAll="0"/>
    <pivotField name="Se respondeu &quot;Pouco seguro&quot;, refira porquê." compact="0" outline="0" multipleItemSelectionAllowed="1" showAll="0"/>
    <pivotField name="Como se sente à noite na rua desde a abertura das restrições a 1 de outubro em comparação com o pré-pandemia?" compact="0" numFmtId="4" outline="0" multipleItemSelectionAllowed="1" showAll="0"/>
    <pivotField name="Tendo em conta o anonimato do inquérito, caso se sinta confortável, partilhe um episódio negativo da sua vivência na vida noturna." compact="0" outline="0" multipleItemSelectionAllowed="1"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A of Alguma vez foi vítima de assédio?" fld="1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name="tabelas dinâmicas 12" cacheId="11" applyNumberFormats="0" applyBorderFormats="0" applyFontFormats="0" applyPatternFormats="0" applyAlignmentFormats="0" applyWidthHeightFormats="0" dataCaption="" updatedVersion="6" compact="0" compactData="0">
  <location ref="R48:V63" firstHeaderRow="1" firstDataRow="2" firstDataCol="1"/>
  <pivotFields count="17">
    <pivotField name="Carimbo de data/hora" compact="0" numFmtId="4" outline="0" multipleItemSelectionAllowed="1" showAll="0"/>
    <pivotField name="Endereço de email" compact="0" outline="0" multipleItemSelectionAllowed="1" showAll="0"/>
    <pivotField name="Com que género se identifica?" compact="0" numFmtId="4" outline="0" multipleItemSelectionAllowed="1" showAll="0"/>
    <pivotField name="Qual a sua faixa etária?" compact="0" numFmtId="4" outline="0" multipleItemSelectionAllowed="1" showAll="0"/>
    <pivotField name="Costuma sair à noite?" compact="0" numFmtId="4" outline="0" multipleItemSelectionAllowed="1" showAll="0"/>
    <pivotField name="Se sim, em que distrito? (o mais frequente)" axis="axisRow" compact="0" numFmtId="4" outline="0" multipleItemSelectionAllowed="1" showAll="0" sortType="ascending">
      <items count="14">
        <item x="0"/>
        <item x="6"/>
        <item x="4"/>
        <item x="10"/>
        <item x="2"/>
        <item x="12"/>
        <item x="11"/>
        <item x="7"/>
        <item x="1"/>
        <item x="3"/>
        <item x="8"/>
        <item x="9"/>
        <item x="5"/>
        <item t="default"/>
      </items>
    </pivotField>
    <pivotField name="Com que frequência?" compact="0" numFmtId="4" outline="0" multipleItemSelectionAllowed="1" showAll="0"/>
    <pivotField name="Como se desloca quando sai à noite? ( escolha o mais frequente)" compact="0" numFmtId="4" outline="0" multipleItemSelectionAllowed="1" showAll="0"/>
    <pivotField name="Se já alguma vez se deslocou sozinh@ ,sentiu medo?" compact="0" numFmtId="4" outline="0" multipleItemSelectionAllowed="1" showAll="0"/>
    <pivotField name="Se respondeu &quot;Sim&quot; na pergunta anterior, como procedeu?" compact="0" numFmtId="4" outline="0" multipleItemSelectionAllowed="1" showAll="0"/>
    <pivotField name="Tem ou pretende ter objetos de defesa?" compact="0" numFmtId="4" outline="0" multipleItemSelectionAllowed="1" showAll="0"/>
    <pivotField name="Alguma vez foi vítima de assédio?" compact="0" numFmtId="4" outline="0" multipleItemSelectionAllowed="1" showAll="0"/>
    <pivotField name="Se respondeu &quot;Sim&quot;, alguém o ajudou ou conseguiu fugir?" compact="0" numFmtId="4" outline="0" multipleItemSelectionAllowed="1" showAll="0"/>
    <pivotField name="Quando sai à noite, como é que se sente?" axis="axisCol" dataField="1" compact="0" numFmtId="4" outline="0" multipleItemSelectionAllowed="1" showAll="0" sortType="ascending">
      <items count="4">
        <item x="2"/>
        <item x="0"/>
        <item x="1"/>
        <item t="default"/>
      </items>
    </pivotField>
    <pivotField name="Se respondeu &quot;Pouco seguro&quot;, refira porquê." compact="0" outline="0" multipleItemSelectionAllowed="1" showAll="0"/>
    <pivotField name="Como se sente à noite na rua desde a abertura das restrições a 1 de outubro em comparação com o pré-pandemia?" compact="0" numFmtId="4" outline="0" multipleItemSelectionAllowed="1" showAll="0"/>
    <pivotField name="Tendo em conta o anonimato do inquérito, caso se sinta confortável, partilhe um episódio negativo da sua vivência na vida noturna." compact="0" outline="0" multipleItemSelectionAllowed="1"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A of Quando sai à noite, como é que se sente?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name="tabelas dinâmicas" cacheId="11" applyNumberFormats="0" applyBorderFormats="0" applyFontFormats="0" applyPatternFormats="0" applyAlignmentFormats="0" applyWidthHeightFormats="0" dataCaption="" updatedVersion="6" compact="0" compactData="0">
  <location ref="A3:D11" firstHeaderRow="1" firstDataRow="2" firstDataCol="1"/>
  <pivotFields count="17">
    <pivotField name="Carimbo de data/hora" compact="0" numFmtId="4" outline="0" multipleItemSelectionAllowed="1" showAll="0"/>
    <pivotField name="Endereço de email" compact="0" outline="0" multipleItemSelectionAllowed="1" showAll="0"/>
    <pivotField name="Com que género se identifica?" compact="0" numFmtId="4" outline="0" multipleItemSelectionAllowed="1" showAll="0"/>
    <pivotField name="Qual a sua faixa etária?" axis="axisRow" compact="0" numFmtId="4" outline="0" multipleItemSelectionAllowed="1" showAll="0" sortType="ascending">
      <items count="7">
        <item x="1"/>
        <item x="2"/>
        <item x="0"/>
        <item x="4"/>
        <item x="5"/>
        <item x="3"/>
        <item t="default"/>
      </items>
    </pivotField>
    <pivotField name="Costuma sair à noite?" axis="axisCol" dataField="1" compact="0" numFmtId="4" outline="0" multipleItemSelectionAllowed="1" showAll="0" sortType="ascending">
      <items count="3">
        <item x="1"/>
        <item x="0"/>
        <item t="default"/>
      </items>
    </pivotField>
    <pivotField name="Se sim, em que distrito? (o mais frequente)" compact="0" numFmtId="4" outline="0" multipleItemSelectionAllowed="1" showAll="0"/>
    <pivotField name="Com que frequência?" compact="0" numFmtId="4" outline="0" multipleItemSelectionAllowed="1" showAll="0"/>
    <pivotField name="Como se desloca quando sai à noite? ( escolha o mais frequente)" compact="0" numFmtId="4" outline="0" multipleItemSelectionAllowed="1" showAll="0"/>
    <pivotField name="Se já alguma vez se deslocou sozinh@ ,sentiu medo?" compact="0" numFmtId="4" outline="0" multipleItemSelectionAllowed="1" showAll="0"/>
    <pivotField name="Se respondeu &quot;Sim&quot; na pergunta anterior, como procedeu?" compact="0" numFmtId="4" outline="0" multipleItemSelectionAllowed="1" showAll="0"/>
    <pivotField name="Tem ou pretende ter objetos de defesa?" compact="0" numFmtId="4" outline="0" multipleItemSelectionAllowed="1" showAll="0"/>
    <pivotField name="Alguma vez foi vítima de assédio?" compact="0" numFmtId="4" outline="0" multipleItemSelectionAllowed="1" showAll="0"/>
    <pivotField name="Se respondeu &quot;Sim&quot;, alguém o ajudou ou conseguiu fugir?" compact="0" numFmtId="4" outline="0" multipleItemSelectionAllowed="1" showAll="0"/>
    <pivotField name="Quando sai à noite, como é que se sente?" compact="0" numFmtId="4" outline="0" multipleItemSelectionAllowed="1" showAll="0"/>
    <pivotField name="Se respondeu &quot;Pouco seguro&quot;, refira porquê." compact="0" outline="0" multipleItemSelectionAllowed="1" showAll="0"/>
    <pivotField name="Como se sente à noite na rua desde a abertura das restrições a 1 de outubro em comparação com o pré-pandemia?" compact="0" numFmtId="4" outline="0" multipleItemSelectionAllowed="1" showAll="0"/>
    <pivotField name="Tendo em conta o anonimato do inquérito, caso se sinta confortável, partilhe um episódio negativo da sua vivência na vida noturna." compact="0" outline="0" multipleItemSelectionAllowe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A of Costuma sair à noite?" fld="4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name="tabelas dinâmicas 9" cacheId="11" applyNumberFormats="0" applyBorderFormats="0" applyFontFormats="0" applyPatternFormats="0" applyAlignmentFormats="0" applyWidthHeightFormats="0" dataCaption="" updatedVersion="6" compact="0" compactData="0">
  <location ref="AS28:AW43" firstHeaderRow="1" firstDataRow="2" firstDataCol="1"/>
  <pivotFields count="17">
    <pivotField name="Carimbo de data/hora" compact="0" numFmtId="4" outline="0" multipleItemSelectionAllowed="1" showAll="0"/>
    <pivotField name="Endereço de email" compact="0" outline="0" multipleItemSelectionAllowed="1" showAll="0"/>
    <pivotField name="Com que género se identifica?" compact="0" numFmtId="4" outline="0" multipleItemSelectionAllowed="1" showAll="0"/>
    <pivotField name="Qual a sua faixa etária?" compact="0" numFmtId="4" outline="0" multipleItemSelectionAllowed="1" showAll="0"/>
    <pivotField name="Costuma sair à noite?" compact="0" numFmtId="4" outline="0" multipleItemSelectionAllowed="1" showAll="0"/>
    <pivotField name="Se sim, em que distrito? (o mais frequente)" axis="axisRow" compact="0" numFmtId="4" outline="0" multipleItemSelectionAllowed="1" showAll="0" sortType="ascending">
      <items count="14">
        <item x="0"/>
        <item x="6"/>
        <item x="4"/>
        <item x="10"/>
        <item x="2"/>
        <item x="12"/>
        <item x="11"/>
        <item x="7"/>
        <item x="1"/>
        <item x="3"/>
        <item x="8"/>
        <item x="9"/>
        <item x="5"/>
        <item t="default"/>
      </items>
    </pivotField>
    <pivotField name="Com que frequência?" compact="0" numFmtId="4" outline="0" multipleItemSelectionAllowed="1" showAll="0"/>
    <pivotField name="Como se desloca quando sai à noite? ( escolha o mais frequente)" compact="0" numFmtId="4" outline="0" multipleItemSelectionAllowed="1" showAll="0"/>
    <pivotField name="Se já alguma vez se deslocou sozinh@ ,sentiu medo?" compact="0" numFmtId="4" outline="0" multipleItemSelectionAllowed="1" showAll="0"/>
    <pivotField name="Se respondeu &quot;Sim&quot; na pergunta anterior, como procedeu?" compact="0" numFmtId="4" outline="0" multipleItemSelectionAllowed="1" showAll="0"/>
    <pivotField name="Tem ou pretende ter objetos de defesa?" compact="0" numFmtId="4" outline="0" multipleItemSelectionAllowed="1" showAll="0"/>
    <pivotField name="Alguma vez foi vítima de assédio?" compact="0" numFmtId="4" outline="0" multipleItemSelectionAllowed="1" showAll="0"/>
    <pivotField name="Se respondeu &quot;Sim&quot;, alguém o ajudou ou conseguiu fugir?" compact="0" numFmtId="4" outline="0" multipleItemSelectionAllowed="1" showAll="0"/>
    <pivotField name="Quando sai à noite, como é que se sente?" axis="axisCol" dataField="1" compact="0" numFmtId="4" outline="0" multipleItemSelectionAllowed="1" showAll="0" sortType="ascending">
      <items count="4">
        <item x="2"/>
        <item x="0"/>
        <item x="1"/>
        <item t="default"/>
      </items>
    </pivotField>
    <pivotField name="Se respondeu &quot;Pouco seguro&quot;, refira porquê." compact="0" outline="0" multipleItemSelectionAllowed="1" showAll="0"/>
    <pivotField name="Como se sente à noite na rua desde a abertura das restrições a 1 de outubro em comparação com o pré-pandemia?" compact="0" numFmtId="4" outline="0" multipleItemSelectionAllowed="1" showAll="0"/>
    <pivotField name="Tendo em conta o anonimato do inquérito, caso se sinta confortável, partilhe um episódio negativo da sua vivência na vida noturna." compact="0" outline="0" multipleItemSelectionAllowed="1"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A of Quando sai à noite, como é que se sente?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name="tabelas dinâmicas 5" cacheId="11" applyNumberFormats="0" applyBorderFormats="0" applyFontFormats="0" applyPatternFormats="0" applyAlignmentFormats="0" applyWidthHeightFormats="0" dataCaption="" updatedVersion="6" compact="0" compactData="0">
  <location ref="AN5:AR13" firstHeaderRow="1" firstDataRow="2" firstDataCol="1"/>
  <pivotFields count="17">
    <pivotField name="Carimbo de data/hora" compact="0" numFmtId="4" outline="0" multipleItemSelectionAllowed="1" showAll="0"/>
    <pivotField name="Endereço de email" compact="0" outline="0" multipleItemSelectionAllowed="1" showAll="0"/>
    <pivotField name="Com que género se identifica?" compact="0" numFmtId="4" outline="0" multipleItemSelectionAllowed="1" showAll="0"/>
    <pivotField name="Qual a sua faixa etária?" axis="axisRow" compact="0" numFmtId="4" outline="0" multipleItemSelectionAllowed="1" showAll="0" sortType="ascending">
      <items count="7">
        <item x="1"/>
        <item x="2"/>
        <item x="0"/>
        <item x="4"/>
        <item x="5"/>
        <item x="3"/>
        <item t="default"/>
      </items>
    </pivotField>
    <pivotField name="Costuma sair à noite?" compact="0" numFmtId="4" outline="0" multipleItemSelectionAllowed="1" showAll="0"/>
    <pivotField name="Se sim, em que distrito? (o mais frequente)" compact="0" numFmtId="4" outline="0" multipleItemSelectionAllowed="1" showAll="0"/>
    <pivotField name="Com que frequência?" compact="0" numFmtId="4" outline="0" multipleItemSelectionAllowed="1" showAll="0"/>
    <pivotField name="Como se desloca quando sai à noite? ( escolha o mais frequente)" compact="0" numFmtId="4" outline="0" multipleItemSelectionAllowed="1" showAll="0"/>
    <pivotField name="Se já alguma vez se deslocou sozinh@ ,sentiu medo?" compact="0" numFmtId="4" outline="0" multipleItemSelectionAllowed="1" showAll="0"/>
    <pivotField name="Se respondeu &quot;Sim&quot; na pergunta anterior, como procedeu?" compact="0" numFmtId="4" outline="0" multipleItemSelectionAllowed="1" showAll="0"/>
    <pivotField name="Tem ou pretende ter objetos de defesa?" compact="0" numFmtId="4" outline="0" multipleItemSelectionAllowed="1" showAll="0"/>
    <pivotField name="Alguma vez foi vítima de assédio?" compact="0" numFmtId="4" outline="0" multipleItemSelectionAllowed="1" showAll="0"/>
    <pivotField name="Se respondeu &quot;Sim&quot;, alguém o ajudou ou conseguiu fugir?" compact="0" numFmtId="4" outline="0" multipleItemSelectionAllowed="1" showAll="0"/>
    <pivotField name="Quando sai à noite, como é que se sente?" axis="axisCol" dataField="1" compact="0" numFmtId="4" outline="0" multipleItemSelectionAllowed="1" showAll="0" sortType="ascending">
      <items count="4">
        <item x="2"/>
        <item x="0"/>
        <item x="1"/>
        <item t="default"/>
      </items>
    </pivotField>
    <pivotField name="Se respondeu &quot;Pouco seguro&quot;, refira porquê." compact="0" outline="0" multipleItemSelectionAllowed="1" showAll="0"/>
    <pivotField name="Como se sente à noite na rua desde a abertura das restrições a 1 de outubro em comparação com o pré-pandemia?" compact="0" numFmtId="4" outline="0" multipleItemSelectionAllowed="1" showAll="0"/>
    <pivotField name="Tendo em conta o anonimato do inquérito, caso se sinta confortável, partilhe um episódio negativo da sua vivência na vida noturna." compact="0" outline="0" multipleItemSelectionAllowe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3"/>
  </colFields>
  <colItems count="4">
    <i>
      <x/>
    </i>
    <i>
      <x v="1"/>
    </i>
    <i>
      <x v="2"/>
    </i>
    <i t="grand">
      <x/>
    </i>
  </colItems>
  <dataFields count="1">
    <dataField name="COUNTA of Quando sai à noite, como é que se sente?" fld="1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name="tabelas dinâmicas 3" cacheId="11" applyNumberFormats="0" applyBorderFormats="0" applyFontFormats="0" applyPatternFormats="0" applyAlignmentFormats="0" applyWidthHeightFormats="0" dataCaption="" updatedVersion="6" compact="0" compactData="0">
  <location ref="R4:X12" firstHeaderRow="1" firstDataRow="2" firstDataCol="1"/>
  <pivotFields count="17">
    <pivotField name="Carimbo de data/hora" compact="0" numFmtId="4" outline="0" multipleItemSelectionAllowed="1" showAll="0"/>
    <pivotField name="Endereço de email" compact="0" outline="0" multipleItemSelectionAllowed="1" showAll="0"/>
    <pivotField name="Com que género se identifica?" compact="0" numFmtId="4" outline="0" multipleItemSelectionAllowed="1" showAll="0"/>
    <pivotField name="Qual a sua faixa etária?" axis="axisRow" compact="0" numFmtId="4" outline="0" multipleItemSelectionAllowed="1" showAll="0" sortType="ascending">
      <items count="7">
        <item x="1"/>
        <item x="2"/>
        <item x="0"/>
        <item x="4"/>
        <item x="5"/>
        <item x="3"/>
        <item t="default"/>
      </items>
    </pivotField>
    <pivotField name="Costuma sair à noite?" compact="0" numFmtId="4" outline="0" multipleItemSelectionAllowed="1" showAll="0"/>
    <pivotField name="Se sim, em que distrito? (o mais frequente)" compact="0" numFmtId="4" outline="0" multipleItemSelectionAllowed="1" showAll="0"/>
    <pivotField name="Com que frequência?" axis="axisCol" dataField="1" compact="0" numFmtId="4" outline="0" multipleItemSelectionAllowed="1" showAll="0" sortType="ascending">
      <items count="6">
        <item x="1"/>
        <item x="0"/>
        <item x="3"/>
        <item x="2"/>
        <item x="4"/>
        <item t="default"/>
      </items>
    </pivotField>
    <pivotField name="Como se desloca quando sai à noite? ( escolha o mais frequente)" compact="0" numFmtId="4" outline="0" multipleItemSelectionAllowed="1" showAll="0"/>
    <pivotField name="Se já alguma vez se deslocou sozinh@ ,sentiu medo?" compact="0" numFmtId="4" outline="0" multipleItemSelectionAllowed="1" showAll="0"/>
    <pivotField name="Se respondeu &quot;Sim&quot; na pergunta anterior, como procedeu?" compact="0" numFmtId="4" outline="0" multipleItemSelectionAllowed="1" showAll="0"/>
    <pivotField name="Tem ou pretende ter objetos de defesa?" compact="0" numFmtId="4" outline="0" multipleItemSelectionAllowed="1" showAll="0"/>
    <pivotField name="Alguma vez foi vítima de assédio?" compact="0" numFmtId="4" outline="0" multipleItemSelectionAllowed="1" showAll="0"/>
    <pivotField name="Se respondeu &quot;Sim&quot;, alguém o ajudou ou conseguiu fugir?" compact="0" numFmtId="4" outline="0" multipleItemSelectionAllowed="1" showAll="0"/>
    <pivotField name="Quando sai à noite, como é que se sente?" compact="0" numFmtId="4" outline="0" multipleItemSelectionAllowed="1" showAll="0"/>
    <pivotField name="Se respondeu &quot;Pouco seguro&quot;, refira porquê." compact="0" outline="0" multipleItemSelectionAllowed="1" showAll="0"/>
    <pivotField name="Como se sente à noite na rua desde a abertura das restrições a 1 de outubro em comparação com o pré-pandemia?" compact="0" numFmtId="4" outline="0" multipleItemSelectionAllowed="1" showAll="0"/>
    <pivotField name="Tendo em conta o anonimato do inquérito, caso se sinta confortável, partilhe um episódio negativo da sua vivência na vida noturna." compact="0" outline="0" multipleItemSelectionAllowe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A of Com que frequência?" fld="6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elas dinâmicas 4" cacheId="11" applyNumberFormats="0" applyBorderFormats="0" applyFontFormats="0" applyPatternFormats="0" applyAlignmentFormats="0" applyWidthHeightFormats="0" dataCaption="" updatedVersion="6" compact="0" compactData="0">
  <location ref="AA5:AE13" firstHeaderRow="1" firstDataRow="2" firstDataCol="1"/>
  <pivotFields count="17">
    <pivotField name="Carimbo de data/hora" compact="0" numFmtId="4" outline="0" multipleItemSelectionAllowed="1" showAll="0"/>
    <pivotField name="Endereço de email" compact="0" outline="0" multipleItemSelectionAllowed="1" showAll="0"/>
    <pivotField name="Com que género se identifica?" compact="0" numFmtId="4" outline="0" multipleItemSelectionAllowed="1" showAll="0"/>
    <pivotField name="Qual a sua faixa etária?" axis="axisRow" compact="0" numFmtId="4" outline="0" multipleItemSelectionAllowed="1" showAll="0" sortType="ascending">
      <items count="7">
        <item x="1"/>
        <item x="2"/>
        <item x="0"/>
        <item x="4"/>
        <item x="5"/>
        <item x="3"/>
        <item t="default"/>
      </items>
    </pivotField>
    <pivotField name="Costuma sair à noite?" compact="0" numFmtId="4" outline="0" multipleItemSelectionAllowed="1" showAll="0"/>
    <pivotField name="Se sim, em que distrito? (o mais frequente)" compact="0" numFmtId="4" outline="0" multipleItemSelectionAllowed="1" showAll="0"/>
    <pivotField name="Com que frequência?" compact="0" numFmtId="4" outline="0" multipleItemSelectionAllowed="1" showAll="0"/>
    <pivotField name="Como se desloca quando sai à noite? ( escolha o mais frequente)" compact="0" numFmtId="4" outline="0" multipleItemSelectionAllowed="1" showAll="0"/>
    <pivotField name="Se já alguma vez se deslocou sozinh@ ,sentiu medo?" compact="0" numFmtId="4" outline="0" multipleItemSelectionAllowed="1" showAll="0"/>
    <pivotField name="Se respondeu &quot;Sim&quot; na pergunta anterior, como procedeu?" compact="0" numFmtId="4" outline="0" multipleItemSelectionAllowed="1" showAll="0"/>
    <pivotField name="Tem ou pretende ter objetos de defesa?" axis="axisCol" dataField="1" compact="0" numFmtId="4" outline="0" multipleItemSelectionAllowed="1" showAll="0" sortType="ascending">
      <items count="4">
        <item x="1"/>
        <item x="0"/>
        <item x="2"/>
        <item t="default"/>
      </items>
    </pivotField>
    <pivotField name="Alguma vez foi vítima de assédio?" compact="0" numFmtId="4" outline="0" multipleItemSelectionAllowed="1" showAll="0"/>
    <pivotField name="Se respondeu &quot;Sim&quot;, alguém o ajudou ou conseguiu fugir?" compact="0" numFmtId="4" outline="0" multipleItemSelectionAllowed="1" showAll="0"/>
    <pivotField name="Quando sai à noite, como é que se sente?" compact="0" numFmtId="4" outline="0" multipleItemSelectionAllowed="1" showAll="0"/>
    <pivotField name="Se respondeu &quot;Pouco seguro&quot;, refira porquê." compact="0" outline="0" multipleItemSelectionAllowed="1" showAll="0"/>
    <pivotField name="Como se sente à noite na rua desde a abertura das restrições a 1 de outubro em comparação com o pré-pandemia?" compact="0" numFmtId="4" outline="0" multipleItemSelectionAllowed="1" showAll="0"/>
    <pivotField name="Tendo em conta o anonimato do inquérito, caso se sinta confortável, partilhe um episódio negativo da sua vivência na vida noturna." compact="0" outline="0" multipleItemSelectionAllowe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A of Tem ou pretende ter objetos de defesa?" fld="1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tabelas dinâmicas 14" cacheId="11" applyNumberFormats="0" applyBorderFormats="0" applyFontFormats="0" applyPatternFormats="0" applyAlignmentFormats="0" applyWidthHeightFormats="0" dataCaption="" updatedVersion="6" compact="0" compactData="0">
  <location ref="A57:E72" firstHeaderRow="1" firstDataRow="2" firstDataCol="1"/>
  <pivotFields count="17">
    <pivotField name="Carimbo de data/hora" compact="0" numFmtId="4" outline="0" multipleItemSelectionAllowed="1" showAll="0"/>
    <pivotField name="Endereço de email" compact="0" outline="0" multipleItemSelectionAllowed="1" showAll="0"/>
    <pivotField name="Com que género se identifica?" compact="0" numFmtId="4" outline="0" multipleItemSelectionAllowed="1" showAll="0"/>
    <pivotField name="Qual a sua faixa etária?" compact="0" numFmtId="4" outline="0" multipleItemSelectionAllowed="1" showAll="0"/>
    <pivotField name="Costuma sair à noite?" compact="0" numFmtId="4" outline="0" multipleItemSelectionAllowed="1" showAll="0"/>
    <pivotField name="Se sim, em que distrito? (o mais frequente)" axis="axisRow" compact="0" numFmtId="4" outline="0" multipleItemSelectionAllowed="1" showAll="0" sortType="ascending">
      <items count="14">
        <item x="0"/>
        <item x="6"/>
        <item x="4"/>
        <item x="10"/>
        <item x="2"/>
        <item x="12"/>
        <item x="11"/>
        <item x="7"/>
        <item x="1"/>
        <item x="3"/>
        <item x="8"/>
        <item x="9"/>
        <item x="5"/>
        <item t="default"/>
      </items>
    </pivotField>
    <pivotField name="Com que frequência?" compact="0" numFmtId="4" outline="0" multipleItemSelectionAllowed="1" showAll="0"/>
    <pivotField name="Como se desloca quando sai à noite? ( escolha o mais frequente)" compact="0" numFmtId="4" outline="0" multipleItemSelectionAllowed="1" showAll="0"/>
    <pivotField name="Se já alguma vez se deslocou sozinh@ ,sentiu medo?" compact="0" numFmtId="4" outline="0" multipleItemSelectionAllowed="1" showAll="0"/>
    <pivotField name="Se respondeu &quot;Sim&quot; na pergunta anterior, como procedeu?" compact="0" numFmtId="4" outline="0" multipleItemSelectionAllowed="1" showAll="0"/>
    <pivotField name="Tem ou pretende ter objetos de defesa?" compact="0" numFmtId="4" outline="0" multipleItemSelectionAllowed="1" showAll="0"/>
    <pivotField name="Alguma vez foi vítima de assédio?" compact="0" numFmtId="4" outline="0" multipleItemSelectionAllowed="1" showAll="0"/>
    <pivotField name="Se respondeu &quot;Sim&quot;, alguém o ajudou ou conseguiu fugir?" compact="0" numFmtId="4" outline="0" multipleItemSelectionAllowed="1" showAll="0"/>
    <pivotField name="Quando sai à noite, como é que se sente?" compact="0" numFmtId="4" outline="0" multipleItemSelectionAllowed="1" showAll="0"/>
    <pivotField name="Se respondeu &quot;Pouco seguro&quot;, refira porquê." compact="0" outline="0" multipleItemSelectionAllowed="1" showAll="0"/>
    <pivotField name="Como se sente à noite na rua desde a abertura das restrições a 1 de outubro em comparação com o pré-pandemia?" axis="axisCol" dataField="1" compact="0" numFmtId="4" outline="0" multipleItemSelectionAllowed="1" showAll="0" sortType="ascending">
      <items count="4">
        <item x="0"/>
        <item x="2"/>
        <item x="1"/>
        <item t="default"/>
      </items>
    </pivotField>
    <pivotField name="Tendo em conta o anonimato do inquérito, caso se sinta confortável, partilhe um episódio negativo da sua vivência na vida noturna." compact="0" outline="0" multipleItemSelectionAllowed="1"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5"/>
  </colFields>
  <colItems count="4">
    <i>
      <x/>
    </i>
    <i>
      <x v="1"/>
    </i>
    <i>
      <x v="2"/>
    </i>
    <i t="grand">
      <x/>
    </i>
  </colItems>
  <dataFields count="1">
    <dataField name="COUNTA of Como se sente à noite na rua desde a abertura das restrições a 1 de outubro em comparação com o pré-pandemia?" fld="15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tabelas dinâmicas 2" cacheId="11" applyNumberFormats="0" applyBorderFormats="0" applyFontFormats="0" applyPatternFormats="0" applyAlignmentFormats="0" applyWidthHeightFormats="0" dataCaption="" updatedVersion="6" compact="0" compactData="0">
  <location ref="H3:O18" firstHeaderRow="1" firstDataRow="2" firstDataCol="1"/>
  <pivotFields count="17">
    <pivotField name="Carimbo de data/hora" compact="0" numFmtId="4" outline="0" multipleItemSelectionAllowed="1" showAll="0"/>
    <pivotField name="Endereço de email" compact="0" outline="0" multipleItemSelectionAllowed="1" showAll="0"/>
    <pivotField name="Com que género se identifica?" compact="0" numFmtId="4" outline="0" multipleItemSelectionAllowed="1" showAll="0"/>
    <pivotField name="Qual a sua faixa etária?" axis="axisCol" dataField="1" compact="0" numFmtId="4" outline="0" multipleItemSelectionAllowed="1" showAll="0" sortType="ascending">
      <items count="7">
        <item x="1"/>
        <item x="2"/>
        <item x="0"/>
        <item x="4"/>
        <item x="5"/>
        <item x="3"/>
        <item t="default"/>
      </items>
    </pivotField>
    <pivotField name="Costuma sair à noite?" compact="0" numFmtId="4" outline="0" multipleItemSelectionAllowed="1" showAll="0"/>
    <pivotField name="Se sim, em que distrito? (o mais frequente)" axis="axisRow" compact="0" numFmtId="4" outline="0" multipleItemSelectionAllowed="1" showAll="0" sortType="ascending">
      <items count="14">
        <item x="0"/>
        <item x="6"/>
        <item x="4"/>
        <item x="10"/>
        <item x="2"/>
        <item x="12"/>
        <item x="11"/>
        <item x="7"/>
        <item x="1"/>
        <item x="3"/>
        <item x="8"/>
        <item x="9"/>
        <item x="5"/>
        <item t="default"/>
      </items>
    </pivotField>
    <pivotField name="Com que frequência?" compact="0" numFmtId="4" outline="0" multipleItemSelectionAllowed="1" showAll="0"/>
    <pivotField name="Como se desloca quando sai à noite? ( escolha o mais frequente)" compact="0" numFmtId="4" outline="0" multipleItemSelectionAllowed="1" showAll="0"/>
    <pivotField name="Se já alguma vez se deslocou sozinh@ ,sentiu medo?" compact="0" numFmtId="4" outline="0" multipleItemSelectionAllowed="1" showAll="0"/>
    <pivotField name="Se respondeu &quot;Sim&quot; na pergunta anterior, como procedeu?" compact="0" numFmtId="4" outline="0" multipleItemSelectionAllowed="1" showAll="0"/>
    <pivotField name="Tem ou pretende ter objetos de defesa?" compact="0" numFmtId="4" outline="0" multipleItemSelectionAllowed="1" showAll="0"/>
    <pivotField name="Alguma vez foi vítima de assédio?" compact="0" numFmtId="4" outline="0" multipleItemSelectionAllowed="1" showAll="0"/>
    <pivotField name="Se respondeu &quot;Sim&quot;, alguém o ajudou ou conseguiu fugir?" compact="0" numFmtId="4" outline="0" multipleItemSelectionAllowed="1" showAll="0"/>
    <pivotField name="Quando sai à noite, como é que se sente?" compact="0" numFmtId="4" outline="0" multipleItemSelectionAllowed="1" showAll="0"/>
    <pivotField name="Se respondeu &quot;Pouco seguro&quot;, refira porquê." compact="0" outline="0" multipleItemSelectionAllowed="1" showAll="0"/>
    <pivotField name="Como se sente à noite na rua desde a abertura das restrições a 1 de outubro em comparação com o pré-pandemia?" compact="0" numFmtId="4" outline="0" multipleItemSelectionAllowed="1" showAll="0"/>
    <pivotField name="Tendo em conta o anonimato do inquérito, caso se sinta confortável, partilhe um episódio negativo da sua vivência na vida noturna." compact="0" outline="0" multipleItemSelectionAllowed="1"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A of Qual a sua faixa etária?" fld="3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name="tabelas dinâmicas 7" cacheId="11" applyNumberFormats="0" applyBorderFormats="0" applyFontFormats="0" applyPatternFormats="0" applyAlignmentFormats="0" applyWidthHeightFormats="0" dataCaption="" updatedVersion="6" compact="0" compactData="0">
  <location ref="AB28:AF43" firstHeaderRow="1" firstDataRow="2" firstDataCol="1"/>
  <pivotFields count="17">
    <pivotField name="Carimbo de data/hora" compact="0" numFmtId="4" outline="0" multipleItemSelectionAllowed="1" showAll="0"/>
    <pivotField name="Endereço de email" compact="0" outline="0" multipleItemSelectionAllowed="1" showAll="0"/>
    <pivotField name="Com que género se identifica?" compact="0" numFmtId="4" outline="0" multipleItemSelectionAllowed="1" showAll="0"/>
    <pivotField name="Qual a sua faixa etária?" compact="0" numFmtId="4" outline="0" multipleItemSelectionAllowed="1" showAll="0"/>
    <pivotField name="Costuma sair à noite?" compact="0" numFmtId="4" outline="0" multipleItemSelectionAllowed="1" showAll="0"/>
    <pivotField name="Se sim, em que distrito? (o mais frequente)" axis="axisRow" compact="0" numFmtId="4" outline="0" multipleItemSelectionAllowed="1" showAll="0" sortType="ascending">
      <items count="14">
        <item x="0"/>
        <item x="6"/>
        <item x="4"/>
        <item x="10"/>
        <item x="2"/>
        <item x="12"/>
        <item x="11"/>
        <item x="7"/>
        <item x="1"/>
        <item x="3"/>
        <item x="8"/>
        <item x="9"/>
        <item x="5"/>
        <item t="default"/>
      </items>
    </pivotField>
    <pivotField name="Com que frequência?" compact="0" numFmtId="4" outline="0" multipleItemSelectionAllowed="1" showAll="0"/>
    <pivotField name="Como se desloca quando sai à noite? ( escolha o mais frequente)" compact="0" numFmtId="4" outline="0" multipleItemSelectionAllowed="1" showAll="0"/>
    <pivotField name="Se já alguma vez se deslocou sozinh@ ,sentiu medo?" compact="0" numFmtId="4" outline="0" multipleItemSelectionAllowed="1" showAll="0"/>
    <pivotField name="Se respondeu &quot;Sim&quot; na pergunta anterior, como procedeu?" compact="0" numFmtId="4" outline="0" multipleItemSelectionAllowed="1" showAll="0"/>
    <pivotField name="Tem ou pretende ter objetos de defesa?" axis="axisCol" dataField="1" compact="0" numFmtId="4" outline="0" multipleItemSelectionAllowed="1" showAll="0" sortType="ascending">
      <items count="4">
        <item x="1"/>
        <item x="0"/>
        <item x="2"/>
        <item t="default"/>
      </items>
    </pivotField>
    <pivotField name="Alguma vez foi vítima de assédio?" compact="0" numFmtId="4" outline="0" multipleItemSelectionAllowed="1" showAll="0"/>
    <pivotField name="Se respondeu &quot;Sim&quot;, alguém o ajudou ou conseguiu fugir?" compact="0" numFmtId="4" outline="0" multipleItemSelectionAllowed="1" showAll="0"/>
    <pivotField name="Quando sai à noite, como é que se sente?" compact="0" numFmtId="4" outline="0" multipleItemSelectionAllowed="1" showAll="0"/>
    <pivotField name="Se respondeu &quot;Pouco seguro&quot;, refira porquê." compact="0" outline="0" multipleItemSelectionAllowed="1" showAll="0"/>
    <pivotField name="Como se sente à noite na rua desde a abertura das restrições a 1 de outubro em comparação com o pré-pandemia?" compact="0" numFmtId="4" outline="0" multipleItemSelectionAllowed="1" showAll="0"/>
    <pivotField name="Tendo em conta o anonimato do inquérito, caso se sinta confortável, partilhe um episódio negativo da sua vivência na vida noturna." compact="0" outline="0" multipleItemSelectionAllowed="1"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0"/>
  </colFields>
  <colItems count="4">
    <i>
      <x/>
    </i>
    <i>
      <x v="1"/>
    </i>
    <i>
      <x v="2"/>
    </i>
    <i t="grand">
      <x/>
    </i>
  </colItems>
  <dataFields count="1">
    <dataField name="COUNTA of Tem ou pretende ter objetos de defesa?" fld="10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name="tabelas dinâmicas 10" cacheId="11" applyNumberFormats="0" applyBorderFormats="0" applyFontFormats="0" applyPatternFormats="0" applyAlignmentFormats="0" applyWidthHeightFormats="0" dataCaption="" updatedVersion="6" compact="0" compactData="0">
  <location ref="BA28:BE43" firstHeaderRow="1" firstDataRow="2" firstDataCol="1"/>
  <pivotFields count="17">
    <pivotField name="Carimbo de data/hora" compact="0" numFmtId="4" outline="0" multipleItemSelectionAllowed="1" showAll="0"/>
    <pivotField name="Endereço de email" compact="0" outline="0" multipleItemSelectionAllowed="1" showAll="0"/>
    <pivotField name="Com que género se identifica?" compact="0" numFmtId="4" outline="0" multipleItemSelectionAllowed="1" showAll="0"/>
    <pivotField name="Qual a sua faixa etária?" compact="0" numFmtId="4" outline="0" multipleItemSelectionAllowed="1" showAll="0"/>
    <pivotField name="Costuma sair à noite?" compact="0" numFmtId="4" outline="0" multipleItemSelectionAllowed="1" showAll="0"/>
    <pivotField name="Se sim, em que distrito? (o mais frequente)" axis="axisRow" compact="0" numFmtId="4" outline="0" multipleItemSelectionAllowed="1" showAll="0" sortType="ascending">
      <items count="14">
        <item x="0"/>
        <item x="6"/>
        <item x="4"/>
        <item x="10"/>
        <item x="2"/>
        <item x="12"/>
        <item x="11"/>
        <item x="7"/>
        <item x="1"/>
        <item x="3"/>
        <item x="8"/>
        <item x="9"/>
        <item x="5"/>
        <item t="default"/>
      </items>
    </pivotField>
    <pivotField name="Com que frequência?" compact="0" numFmtId="4" outline="0" multipleItemSelectionAllowed="1" showAll="0"/>
    <pivotField name="Como se desloca quando sai à noite? ( escolha o mais frequente)" compact="0" numFmtId="4" outline="0" multipleItemSelectionAllowed="1" showAll="0"/>
    <pivotField name="Se já alguma vez se deslocou sozinh@ ,sentiu medo?" compact="0" numFmtId="4" outline="0" multipleItemSelectionAllowed="1" showAll="0"/>
    <pivotField name="Se respondeu &quot;Sim&quot; na pergunta anterior, como procedeu?" compact="0" numFmtId="4" outline="0" multipleItemSelectionAllowed="1" showAll="0"/>
    <pivotField name="Tem ou pretende ter objetos de defesa?" compact="0" numFmtId="4" outline="0" multipleItemSelectionAllowed="1" showAll="0"/>
    <pivotField name="Alguma vez foi vítima de assédio?" compact="0" numFmtId="4" outline="0" multipleItemSelectionAllowed="1" showAll="0"/>
    <pivotField name="Se respondeu &quot;Sim&quot;, alguém o ajudou ou conseguiu fugir?" compact="0" numFmtId="4" outline="0" multipleItemSelectionAllowed="1" showAll="0"/>
    <pivotField name="Quando sai à noite, como é que se sente?" compact="0" numFmtId="4" outline="0" multipleItemSelectionAllowed="1" showAll="0"/>
    <pivotField name="Se respondeu &quot;Pouco seguro&quot;, refira porquê." compact="0" outline="0" multipleItemSelectionAllowed="1" showAll="0"/>
    <pivotField name="Como se sente à noite na rua desde a abertura das restrições a 1 de outubro em comparação com o pré-pandemia?" axis="axisCol" dataField="1" compact="0" numFmtId="4" outline="0" multipleItemSelectionAllowed="1" showAll="0" sortType="ascending">
      <items count="4">
        <item x="0"/>
        <item x="2"/>
        <item x="1"/>
        <item t="default"/>
      </items>
    </pivotField>
    <pivotField name="Tendo em conta o anonimato do inquérito, caso se sinta confortável, partilhe um episódio negativo da sua vivência na vida noturna." compact="0" outline="0" multipleItemSelectionAllowed="1" showAll="0"/>
  </pivotFields>
  <rowFields count="1">
    <field x="5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5"/>
  </colFields>
  <colItems count="4">
    <i>
      <x/>
    </i>
    <i>
      <x v="1"/>
    </i>
    <i>
      <x v="2"/>
    </i>
    <i t="grand">
      <x/>
    </i>
  </colItems>
  <dataFields count="1">
    <dataField name="COUNTA of Como se sente à noite na rua desde a abertura das restrições a 1 de outubro em comparação com o pré-pandemia?" fld="15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name="tabelas dinâmicas 6" cacheId="11" applyNumberFormats="0" applyBorderFormats="0" applyFontFormats="0" applyPatternFormats="0" applyAlignmentFormats="0" applyWidthHeightFormats="0" dataCaption="" updatedVersion="6" compact="0" compactData="0">
  <location ref="AU5:AY13" firstHeaderRow="1" firstDataRow="2" firstDataCol="1"/>
  <pivotFields count="17">
    <pivotField name="Carimbo de data/hora" compact="0" numFmtId="4" outline="0" multipleItemSelectionAllowed="1" showAll="0"/>
    <pivotField name="Endereço de email" compact="0" outline="0" multipleItemSelectionAllowed="1" showAll="0"/>
    <pivotField name="Com que género se identifica?" compact="0" numFmtId="4" outline="0" multipleItemSelectionAllowed="1" showAll="0"/>
    <pivotField name="Qual a sua faixa etária?" axis="axisRow" compact="0" numFmtId="4" outline="0" multipleItemSelectionAllowed="1" showAll="0" sortType="ascending">
      <items count="7">
        <item x="1"/>
        <item x="2"/>
        <item x="0"/>
        <item x="4"/>
        <item x="5"/>
        <item x="3"/>
        <item t="default"/>
      </items>
    </pivotField>
    <pivotField name="Costuma sair à noite?" compact="0" numFmtId="4" outline="0" multipleItemSelectionAllowed="1" showAll="0"/>
    <pivotField name="Se sim, em que distrito? (o mais frequente)" compact="0" numFmtId="4" outline="0" multipleItemSelectionAllowed="1" showAll="0"/>
    <pivotField name="Com que frequência?" compact="0" numFmtId="4" outline="0" multipleItemSelectionAllowed="1" showAll="0"/>
    <pivotField name="Como se desloca quando sai à noite? ( escolha o mais frequente)" compact="0" numFmtId="4" outline="0" multipleItemSelectionAllowed="1" showAll="0"/>
    <pivotField name="Se já alguma vez se deslocou sozinh@ ,sentiu medo?" compact="0" numFmtId="4" outline="0" multipleItemSelectionAllowed="1" showAll="0"/>
    <pivotField name="Se respondeu &quot;Sim&quot; na pergunta anterior, como procedeu?" compact="0" numFmtId="4" outline="0" multipleItemSelectionAllowed="1" showAll="0"/>
    <pivotField name="Tem ou pretende ter objetos de defesa?" compact="0" numFmtId="4" outline="0" multipleItemSelectionAllowed="1" showAll="0"/>
    <pivotField name="Alguma vez foi vítima de assédio?" compact="0" numFmtId="4" outline="0" multipleItemSelectionAllowed="1" showAll="0"/>
    <pivotField name="Se respondeu &quot;Sim&quot;, alguém o ajudou ou conseguiu fugir?" compact="0" numFmtId="4" outline="0" multipleItemSelectionAllowed="1" showAll="0"/>
    <pivotField name="Quando sai à noite, como é que se sente?" compact="0" numFmtId="4" outline="0" multipleItemSelectionAllowed="1" showAll="0"/>
    <pivotField name="Se respondeu &quot;Pouco seguro&quot;, refira porquê." compact="0" outline="0" multipleItemSelectionAllowed="1" showAll="0"/>
    <pivotField name="Como se sente à noite na rua desde a abertura das restrições a 1 de outubro em comparação com o pré-pandemia?" axis="axisCol" dataField="1" compact="0" numFmtId="4" outline="0" multipleItemSelectionAllowed="1" showAll="0" sortType="ascending">
      <items count="4">
        <item x="0"/>
        <item x="2"/>
        <item x="1"/>
        <item t="default"/>
      </items>
    </pivotField>
    <pivotField name="Tendo em conta o anonimato do inquérito, caso se sinta confortável, partilhe um episódio negativo da sua vivência na vida noturna." compact="0" outline="0" multipleItemSelectionAllowe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5"/>
  </colFields>
  <colItems count="4">
    <i>
      <x/>
    </i>
    <i>
      <x v="1"/>
    </i>
    <i>
      <x v="2"/>
    </i>
    <i t="grand">
      <x/>
    </i>
  </colItems>
  <dataFields count="1">
    <dataField name="COUNTA of Como se sente à noite na rua desde a abertura das restrições a 1 de outubro em comparação com o pré-pandemia?" fld="15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name="tabelas dinâmicas 13" cacheId="11" applyNumberFormats="0" applyBorderFormats="0" applyFontFormats="0" applyPatternFormats="0" applyAlignmentFormats="0" applyWidthHeightFormats="0" dataCaption="" updatedVersion="6" compact="0" compactData="0">
  <location ref="Y50:AC58" firstHeaderRow="1" firstDataRow="2" firstDataCol="1"/>
  <pivotFields count="17">
    <pivotField name="Carimbo de data/hora" compact="0" numFmtId="4" outline="0" multipleItemSelectionAllowed="1" showAll="0"/>
    <pivotField name="Endereço de email" compact="0" outline="0" multipleItemSelectionAllowed="1" showAll="0"/>
    <pivotField name="Com que género se identifica?" axis="axisCol" dataField="1" compact="0" numFmtId="4" outline="0" multipleItemSelectionAllowed="1" showAll="0" sortType="ascending">
      <items count="4">
        <item x="0"/>
        <item x="1"/>
        <item x="2"/>
        <item t="default"/>
      </items>
    </pivotField>
    <pivotField name="Qual a sua faixa etária?" axis="axisRow" compact="0" numFmtId="4" outline="0" multipleItemSelectionAllowed="1" showAll="0" sortType="ascending">
      <items count="7">
        <item x="1"/>
        <item x="2"/>
        <item x="0"/>
        <item x="4"/>
        <item x="5"/>
        <item x="3"/>
        <item t="default"/>
      </items>
    </pivotField>
    <pivotField name="Costuma sair à noite?" compact="0" numFmtId="4" outline="0" multipleItemSelectionAllowed="1" showAll="0"/>
    <pivotField name="Se sim, em que distrito? (o mais frequente)" compact="0" numFmtId="4" outline="0" multipleItemSelectionAllowed="1" showAll="0"/>
    <pivotField name="Com que frequência?" compact="0" numFmtId="4" outline="0" multipleItemSelectionAllowed="1" showAll="0"/>
    <pivotField name="Como se desloca quando sai à noite? ( escolha o mais frequente)" compact="0" numFmtId="4" outline="0" multipleItemSelectionAllowed="1" showAll="0"/>
    <pivotField name="Se já alguma vez se deslocou sozinh@ ,sentiu medo?" compact="0" numFmtId="4" outline="0" multipleItemSelectionAllowed="1" showAll="0"/>
    <pivotField name="Se respondeu &quot;Sim&quot; na pergunta anterior, como procedeu?" compact="0" numFmtId="4" outline="0" multipleItemSelectionAllowed="1" showAll="0"/>
    <pivotField name="Tem ou pretende ter objetos de defesa?" compact="0" numFmtId="4" outline="0" multipleItemSelectionAllowed="1" showAll="0"/>
    <pivotField name="Alguma vez foi vítima de assédio?" compact="0" numFmtId="4" outline="0" multipleItemSelectionAllowed="1" showAll="0"/>
    <pivotField name="Se respondeu &quot;Sim&quot;, alguém o ajudou ou conseguiu fugir?" compact="0" numFmtId="4" outline="0" multipleItemSelectionAllowed="1" showAll="0"/>
    <pivotField name="Quando sai à noite, como é que se sente?" compact="0" numFmtId="4" outline="0" multipleItemSelectionAllowed="1" showAll="0"/>
    <pivotField name="Se respondeu &quot;Pouco seguro&quot;, refira porquê." compact="0" outline="0" multipleItemSelectionAllowed="1" showAll="0"/>
    <pivotField name="Como se sente à noite na rua desde a abertura das restrições a 1 de outubro em comparação com o pré-pandemia?" compact="0" numFmtId="4" outline="0" multipleItemSelectionAllowed="1" showAll="0"/>
    <pivotField name="Tendo em conta o anonimato do inquérito, caso se sinta confortável, partilhe um episódio negativo da sua vivência na vida noturna." compact="0" outline="0" multipleItemSelectionAllowe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COUNTA of Com que género se identifica?" fld="2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name="tabelas dinâmicas 11" cacheId="11" applyNumberFormats="0" applyBorderFormats="0" applyFontFormats="0" applyPatternFormats="0" applyAlignmentFormats="0" applyWidthHeightFormats="0" dataCaption="" updatedVersion="6" compact="0" compactData="0">
  <location ref="M48:P53" firstHeaderRow="1" firstDataRow="2" firstDataCol="1"/>
  <pivotFields count="17">
    <pivotField name="Carimbo de data/hora" compact="0" numFmtId="4" outline="0" multipleItemSelectionAllowed="1" showAll="0"/>
    <pivotField name="Endereço de email" compact="0" outline="0" multipleItemSelectionAllowed="1" showAll="0"/>
    <pivotField name="Com que género se identifica?" axis="axisRow" compact="0" numFmtId="4" outline="0" multipleItemSelectionAllowed="1" showAll="0" sortType="ascending">
      <items count="4">
        <item x="0"/>
        <item x="1"/>
        <item x="2"/>
        <item t="default"/>
      </items>
    </pivotField>
    <pivotField name="Qual a sua faixa etária?" compact="0" numFmtId="4" outline="0" multipleItemSelectionAllowed="1" showAll="0"/>
    <pivotField name="Costuma sair à noite?" compact="0" numFmtId="4" outline="0" multipleItemSelectionAllowed="1" showAll="0"/>
    <pivotField name="Se sim, em que distrito? (o mais frequente)" compact="0" numFmtId="4" outline="0" multipleItemSelectionAllowed="1" showAll="0"/>
    <pivotField name="Com que frequência?" compact="0" numFmtId="4" outline="0" multipleItemSelectionAllowed="1" showAll="0"/>
    <pivotField name="Como se desloca quando sai à noite? ( escolha o mais frequente)" compact="0" numFmtId="4" outline="0" multipleItemSelectionAllowed="1" showAll="0"/>
    <pivotField name="Se já alguma vez se deslocou sozinh@ ,sentiu medo?" compact="0" numFmtId="4" outline="0" multipleItemSelectionAllowed="1" showAll="0"/>
    <pivotField name="Se respondeu &quot;Sim&quot; na pergunta anterior, como procedeu?" compact="0" numFmtId="4" outline="0" multipleItemSelectionAllowed="1" showAll="0"/>
    <pivotField name="Tem ou pretende ter objetos de defesa?" compact="0" numFmtId="4" outline="0" multipleItemSelectionAllowed="1" showAll="0"/>
    <pivotField name="Alguma vez foi vítima de assédio?" axis="axisCol" dataField="1" compact="0" numFmtId="4" outline="0" multipleItemSelectionAllowed="1" showAll="0" sortType="ascending">
      <items count="3">
        <item x="1"/>
        <item x="0"/>
        <item t="default"/>
      </items>
    </pivotField>
    <pivotField name="Se respondeu &quot;Sim&quot;, alguém o ajudou ou conseguiu fugir?" compact="0" numFmtId="4" outline="0" multipleItemSelectionAllowed="1" showAll="0"/>
    <pivotField name="Quando sai à noite, como é que se sente?" compact="0" numFmtId="4" outline="0" multipleItemSelectionAllowed="1" showAll="0"/>
    <pivotField name="Se respondeu &quot;Pouco seguro&quot;, refira porquê." compact="0" outline="0" multipleItemSelectionAllowed="1" showAll="0"/>
    <pivotField name="Como se sente à noite na rua desde a abertura das restrições a 1 de outubro em comparação com o pré-pandemia?" compact="0" numFmtId="4" outline="0" multipleItemSelectionAllowed="1" showAll="0"/>
    <pivotField name="Tendo em conta o anonimato do inquérito, caso se sinta confortável, partilhe um episódio negativo da sua vivência na vida noturna." compact="0" outline="0" multipleItemSelectionAllowe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1"/>
  </colFields>
  <colItems count="3">
    <i>
      <x/>
    </i>
    <i>
      <x v="1"/>
    </i>
    <i t="grand">
      <x/>
    </i>
  </colItems>
  <dataFields count="1">
    <dataField name="COUNTA of Alguma vez foi vítima de assédio?" fld="11" subtotal="count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_1" displayName="Table_1" ref="C226" headerRowCount="0">
  <tableColumns count="1">
    <tableColumn id="1" name="Column1"/>
  </tableColumns>
  <tableStyleInfo name="Dados excel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A1:AM221" headerRowCount="0">
  <tableColumns count="39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  <tableColumn id="17" name="Column17"/>
    <tableColumn id="18" name="Column18"/>
    <tableColumn id="19" name="Column19"/>
    <tableColumn id="20" name="Column20"/>
    <tableColumn id="21" name="Column21"/>
    <tableColumn id="22" name="Column22"/>
    <tableColumn id="23" name="Column23"/>
    <tableColumn id="24" name="Column24"/>
    <tableColumn id="25" name="Column25"/>
    <tableColumn id="26" name="Column26"/>
    <tableColumn id="27" name="Column27"/>
    <tableColumn id="28" name="Column28"/>
    <tableColumn id="29" name="Column29"/>
    <tableColumn id="30" name="Column30"/>
    <tableColumn id="31" name="Column31"/>
    <tableColumn id="32" name="Column32"/>
    <tableColumn id="33" name="Column33"/>
    <tableColumn id="34" name="Column34"/>
    <tableColumn id="35" name="Column35"/>
    <tableColumn id="36" name="Column36"/>
    <tableColumn id="37" name="Column37"/>
    <tableColumn id="38" name="Column38"/>
    <tableColumn id="39" name="Column39"/>
  </tableColumns>
  <tableStyleInfo name="Dados excel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id="3" name="Table_3" displayName="Table_3" ref="C222:C224" headerRowCount="0">
  <tableColumns count="1">
    <tableColumn id="1" name="Column1"/>
  </tableColumns>
  <tableStyleInfo name="Dados excel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id="4" name="Table_4" displayName="Table_4" ref="C227:C230" headerRowCount="0">
  <tableColumns count="1">
    <tableColumn id="1" name="Column1"/>
  </tableColumns>
  <tableStyleInfo name="Dados excel-style 4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id="5" name="Table_5" displayName="Table_5" ref="C1" headerRowCount="0">
  <tableColumns count="1">
    <tableColumn id="1" name="Column1"/>
  </tableColumns>
  <tableStyleInfo name="Gráficos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1A1A1A"/>
      </a:dk1>
      <a:lt1>
        <a:srgbClr val="FFFFFF"/>
      </a:lt1>
      <a:dk2>
        <a:srgbClr val="1A1A1A"/>
      </a:dk2>
      <a:lt2>
        <a:srgbClr val="FFFFFF"/>
      </a:lt2>
      <a:accent1>
        <a:srgbClr val="1A9988"/>
      </a:accent1>
      <a:accent2>
        <a:srgbClr val="3C78D8"/>
      </a:accent2>
      <a:accent3>
        <a:srgbClr val="1F3E78"/>
      </a:accent3>
      <a:accent4>
        <a:srgbClr val="EB5600"/>
      </a:accent4>
      <a:accent5>
        <a:srgbClr val="FF99AC"/>
      </a:accent5>
      <a:accent6>
        <a:srgbClr val="FFD4B8"/>
      </a:accent6>
      <a:hlink>
        <a:srgbClr val="1F3E78"/>
      </a:hlink>
      <a:folHlink>
        <a:srgbClr val="1F3E78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475"/>
  <sheetViews>
    <sheetView tabSelected="1" workbookViewId="0">
      <pane ySplit="1" topLeftCell="A221" activePane="bottomLeft" state="frozen"/>
      <selection pane="bottomLeft" activeCell="D246" sqref="D246"/>
    </sheetView>
  </sheetViews>
  <sheetFormatPr defaultColWidth="11.1796875" defaultRowHeight="15.75" customHeight="1"/>
  <cols>
    <col min="1" max="1" width="16.81640625" customWidth="1"/>
    <col min="2" max="2" width="4.1796875" customWidth="1"/>
    <col min="3" max="3" width="21" customWidth="1"/>
    <col min="4" max="4" width="16.453125" customWidth="1"/>
    <col min="5" max="5" width="15.36328125" customWidth="1"/>
    <col min="6" max="6" width="29.1796875" customWidth="1"/>
    <col min="7" max="7" width="15.453125" customWidth="1"/>
    <col min="8" max="8" width="44" customWidth="1"/>
    <col min="9" max="9" width="36.81640625" customWidth="1"/>
    <col min="10" max="10" width="160.6328125" customWidth="1"/>
    <col min="11" max="11" width="27.1796875" customWidth="1"/>
    <col min="12" max="12" width="24.1796875" customWidth="1"/>
    <col min="13" max="13" width="39.81640625" customWidth="1"/>
    <col min="14" max="14" width="29.453125" customWidth="1"/>
    <col min="15" max="15" width="121.81640625" customWidth="1"/>
    <col min="16" max="16" width="77.36328125" customWidth="1"/>
    <col min="17" max="17" width="289.81640625" customWidth="1"/>
    <col min="18" max="18" width="16.81640625" customWidth="1"/>
    <col min="19" max="19" width="229.1796875" customWidth="1"/>
    <col min="20" max="21" width="34.36328125" customWidth="1"/>
    <col min="22" max="39" width="16.81640625" customWidth="1"/>
  </cols>
  <sheetData>
    <row r="1" spans="1:39" ht="12.6">
      <c r="A1" s="1" t="s">
        <v>0</v>
      </c>
      <c r="B1" s="2" t="s">
        <v>1</v>
      </c>
      <c r="C1" s="1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2" t="s">
        <v>17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r="2" spans="1:39" ht="13.2">
      <c r="A2" s="5">
        <v>44523.433120567133</v>
      </c>
      <c r="B2" s="6"/>
      <c r="C2" s="6" t="s">
        <v>18</v>
      </c>
      <c r="D2" s="289" t="s">
        <v>19</v>
      </c>
      <c r="E2" s="6" t="s">
        <v>20</v>
      </c>
      <c r="F2" s="6" t="s">
        <v>21</v>
      </c>
      <c r="G2" s="6" t="s">
        <v>22</v>
      </c>
      <c r="H2" s="6" t="s">
        <v>23</v>
      </c>
      <c r="I2" s="6" t="s">
        <v>20</v>
      </c>
      <c r="J2" s="6" t="s">
        <v>24</v>
      </c>
      <c r="K2" s="6" t="s">
        <v>25</v>
      </c>
      <c r="L2" s="6" t="s">
        <v>20</v>
      </c>
      <c r="M2" s="6" t="s">
        <v>20</v>
      </c>
      <c r="N2" s="6" t="s">
        <v>26</v>
      </c>
      <c r="O2" s="6"/>
      <c r="P2" s="6" t="s">
        <v>27</v>
      </c>
      <c r="Q2" s="6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</row>
    <row r="3" spans="1:39" ht="13.2">
      <c r="A3" s="5">
        <v>44523.433265995365</v>
      </c>
      <c r="B3" s="6"/>
      <c r="C3" s="6" t="s">
        <v>28</v>
      </c>
      <c r="D3" s="290" t="s">
        <v>19</v>
      </c>
      <c r="E3" s="6" t="s">
        <v>20</v>
      </c>
      <c r="F3" s="6" t="s">
        <v>21</v>
      </c>
      <c r="G3" s="6" t="s">
        <v>22</v>
      </c>
      <c r="H3" s="6" t="s">
        <v>23</v>
      </c>
      <c r="I3" s="6" t="s">
        <v>20</v>
      </c>
      <c r="J3" s="6" t="s">
        <v>29</v>
      </c>
      <c r="K3" s="6" t="s">
        <v>30</v>
      </c>
      <c r="L3" s="6" t="s">
        <v>30</v>
      </c>
      <c r="M3" s="6"/>
      <c r="N3" s="6" t="s">
        <v>31</v>
      </c>
      <c r="O3" s="6"/>
      <c r="P3" s="6" t="s">
        <v>27</v>
      </c>
      <c r="Q3" s="6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r="4" spans="1:39" ht="13.2">
      <c r="A4" s="5">
        <v>44523.439391458334</v>
      </c>
      <c r="B4" s="6"/>
      <c r="C4" s="6" t="s">
        <v>18</v>
      </c>
      <c r="D4" s="289" t="s">
        <v>19</v>
      </c>
      <c r="E4" s="6" t="s">
        <v>20</v>
      </c>
      <c r="F4" s="6" t="s">
        <v>32</v>
      </c>
      <c r="G4" s="6" t="s">
        <v>22</v>
      </c>
      <c r="H4" s="6" t="s">
        <v>33</v>
      </c>
      <c r="I4" s="6" t="s">
        <v>20</v>
      </c>
      <c r="J4" s="6"/>
      <c r="K4" s="6" t="s">
        <v>30</v>
      </c>
      <c r="L4" s="6" t="s">
        <v>20</v>
      </c>
      <c r="M4" s="6" t="s">
        <v>20</v>
      </c>
      <c r="N4" s="6" t="s">
        <v>31</v>
      </c>
      <c r="O4" s="6"/>
      <c r="P4" s="6" t="s">
        <v>34</v>
      </c>
      <c r="Q4" s="6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</row>
    <row r="5" spans="1:39" ht="13.2">
      <c r="A5" s="5">
        <v>44523.439693113425</v>
      </c>
      <c r="B5" s="6"/>
      <c r="C5" s="6" t="s">
        <v>18</v>
      </c>
      <c r="D5" s="290" t="s">
        <v>19</v>
      </c>
      <c r="E5" s="6" t="s">
        <v>20</v>
      </c>
      <c r="F5" s="6" t="s">
        <v>35</v>
      </c>
      <c r="G5" s="6" t="s">
        <v>22</v>
      </c>
      <c r="H5" s="6" t="s">
        <v>36</v>
      </c>
      <c r="I5" s="6" t="s">
        <v>30</v>
      </c>
      <c r="J5" s="6"/>
      <c r="K5" s="6" t="s">
        <v>20</v>
      </c>
      <c r="L5" s="6" t="s">
        <v>20</v>
      </c>
      <c r="M5" s="6" t="s">
        <v>20</v>
      </c>
      <c r="N5" s="6" t="s">
        <v>31</v>
      </c>
      <c r="O5" s="6"/>
      <c r="P5" s="6" t="s">
        <v>34</v>
      </c>
      <c r="Q5" s="6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</row>
    <row r="6" spans="1:39" ht="13.2">
      <c r="A6" s="5">
        <v>44523.440466006941</v>
      </c>
      <c r="B6" s="6"/>
      <c r="C6" s="6" t="s">
        <v>18</v>
      </c>
      <c r="D6" s="289" t="s">
        <v>19</v>
      </c>
      <c r="E6" s="6" t="s">
        <v>20</v>
      </c>
      <c r="F6" s="6" t="s">
        <v>35</v>
      </c>
      <c r="G6" s="6" t="s">
        <v>22</v>
      </c>
      <c r="H6" s="6" t="s">
        <v>23</v>
      </c>
      <c r="I6" s="6" t="s">
        <v>20</v>
      </c>
      <c r="J6" s="6" t="s">
        <v>37</v>
      </c>
      <c r="K6" s="6" t="s">
        <v>20</v>
      </c>
      <c r="L6" s="6" t="s">
        <v>20</v>
      </c>
      <c r="M6" s="6" t="s">
        <v>20</v>
      </c>
      <c r="N6" s="6" t="s">
        <v>26</v>
      </c>
      <c r="O6" s="6" t="s">
        <v>38</v>
      </c>
      <c r="P6" s="6" t="s">
        <v>27</v>
      </c>
      <c r="Q6" s="6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</row>
    <row r="7" spans="1:39" ht="13.2">
      <c r="A7" s="5">
        <v>44523.442272175926</v>
      </c>
      <c r="B7" s="6"/>
      <c r="C7" s="6" t="s">
        <v>18</v>
      </c>
      <c r="D7" s="290" t="s">
        <v>19</v>
      </c>
      <c r="E7" s="6" t="s">
        <v>30</v>
      </c>
      <c r="F7" s="6" t="s">
        <v>39</v>
      </c>
      <c r="G7" s="6" t="s">
        <v>40</v>
      </c>
      <c r="H7" s="6" t="s">
        <v>33</v>
      </c>
      <c r="I7" s="6" t="s">
        <v>20</v>
      </c>
      <c r="J7" s="6"/>
      <c r="K7" s="6" t="s">
        <v>20</v>
      </c>
      <c r="L7" s="6" t="s">
        <v>20</v>
      </c>
      <c r="M7" s="6" t="s">
        <v>20</v>
      </c>
      <c r="N7" s="6" t="s">
        <v>31</v>
      </c>
      <c r="O7" s="6"/>
      <c r="P7" s="6" t="s">
        <v>27</v>
      </c>
      <c r="Q7" s="6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</row>
    <row r="8" spans="1:39" ht="13.2">
      <c r="A8" s="5">
        <v>44523.446353171297</v>
      </c>
      <c r="B8" s="6"/>
      <c r="C8" s="6" t="s">
        <v>28</v>
      </c>
      <c r="D8" s="289" t="s">
        <v>19</v>
      </c>
      <c r="E8" s="6" t="s">
        <v>20</v>
      </c>
      <c r="F8" s="6" t="s">
        <v>35</v>
      </c>
      <c r="G8" s="6" t="s">
        <v>22</v>
      </c>
      <c r="H8" s="6" t="s">
        <v>23</v>
      </c>
      <c r="I8" s="6" t="s">
        <v>20</v>
      </c>
      <c r="J8" s="6" t="s">
        <v>41</v>
      </c>
      <c r="K8" s="6" t="s">
        <v>30</v>
      </c>
      <c r="L8" s="6" t="s">
        <v>30</v>
      </c>
      <c r="M8" s="6"/>
      <c r="N8" s="6" t="s">
        <v>31</v>
      </c>
      <c r="O8" s="6"/>
      <c r="P8" s="6" t="s">
        <v>27</v>
      </c>
      <c r="Q8" s="6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</row>
    <row r="9" spans="1:39" ht="13.2">
      <c r="A9" s="5">
        <v>44523.450117592598</v>
      </c>
      <c r="B9" s="6"/>
      <c r="C9" s="6" t="s">
        <v>28</v>
      </c>
      <c r="D9" s="290" t="s">
        <v>19</v>
      </c>
      <c r="E9" s="6" t="s">
        <v>20</v>
      </c>
      <c r="F9" s="6" t="s">
        <v>35</v>
      </c>
      <c r="G9" s="6" t="s">
        <v>22</v>
      </c>
      <c r="H9" s="6" t="s">
        <v>42</v>
      </c>
      <c r="I9" s="6" t="s">
        <v>30</v>
      </c>
      <c r="J9" s="6"/>
      <c r="K9" s="6" t="s">
        <v>30</v>
      </c>
      <c r="L9" s="6" t="s">
        <v>30</v>
      </c>
      <c r="M9" s="6"/>
      <c r="N9" s="6" t="s">
        <v>31</v>
      </c>
      <c r="O9" s="6"/>
      <c r="P9" s="6" t="s">
        <v>34</v>
      </c>
      <c r="Q9" s="6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</row>
    <row r="10" spans="1:39" ht="13.2">
      <c r="A10" s="5">
        <v>44523.457808541665</v>
      </c>
      <c r="B10" s="6"/>
      <c r="C10" s="6" t="s">
        <v>18</v>
      </c>
      <c r="D10" s="289" t="s">
        <v>19</v>
      </c>
      <c r="E10" s="6" t="s">
        <v>20</v>
      </c>
      <c r="F10" s="6" t="s">
        <v>39</v>
      </c>
      <c r="G10" s="6" t="s">
        <v>22</v>
      </c>
      <c r="H10" s="6" t="s">
        <v>33</v>
      </c>
      <c r="I10" s="6" t="s">
        <v>20</v>
      </c>
      <c r="J10" s="6" t="s">
        <v>43</v>
      </c>
      <c r="K10" s="6" t="s">
        <v>30</v>
      </c>
      <c r="L10" s="6" t="s">
        <v>20</v>
      </c>
      <c r="M10" s="6" t="s">
        <v>30</v>
      </c>
      <c r="N10" s="6" t="s">
        <v>26</v>
      </c>
      <c r="O10" s="6" t="s">
        <v>44</v>
      </c>
      <c r="P10" s="6" t="s">
        <v>27</v>
      </c>
      <c r="Q10" s="6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39" ht="13.2">
      <c r="A11" s="5">
        <v>44523.477313020834</v>
      </c>
      <c r="B11" s="6"/>
      <c r="C11" s="6" t="s">
        <v>28</v>
      </c>
      <c r="D11" s="290" t="s">
        <v>19</v>
      </c>
      <c r="E11" s="6" t="s">
        <v>20</v>
      </c>
      <c r="F11" s="6" t="s">
        <v>32</v>
      </c>
      <c r="G11" s="6" t="s">
        <v>22</v>
      </c>
      <c r="H11" s="6" t="s">
        <v>23</v>
      </c>
      <c r="I11" s="6" t="s">
        <v>20</v>
      </c>
      <c r="J11" s="6" t="s">
        <v>45</v>
      </c>
      <c r="K11" s="6" t="s">
        <v>20</v>
      </c>
      <c r="L11" s="6" t="s">
        <v>30</v>
      </c>
      <c r="M11" s="6"/>
      <c r="N11" s="6" t="s">
        <v>26</v>
      </c>
      <c r="O11" s="6" t="s">
        <v>46</v>
      </c>
      <c r="P11" s="6" t="s">
        <v>27</v>
      </c>
      <c r="Q11" s="6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</row>
    <row r="12" spans="1:39" ht="13.2">
      <c r="A12" s="5">
        <v>44523.489842048613</v>
      </c>
      <c r="B12" s="6"/>
      <c r="C12" s="6" t="s">
        <v>18</v>
      </c>
      <c r="D12" s="289" t="s">
        <v>19</v>
      </c>
      <c r="E12" s="6" t="s">
        <v>20</v>
      </c>
      <c r="F12" s="6" t="s">
        <v>35</v>
      </c>
      <c r="G12" s="6" t="s">
        <v>22</v>
      </c>
      <c r="H12" s="6" t="s">
        <v>42</v>
      </c>
      <c r="I12" s="6" t="s">
        <v>20</v>
      </c>
      <c r="J12" s="6" t="s">
        <v>47</v>
      </c>
      <c r="K12" s="6" t="s">
        <v>30</v>
      </c>
      <c r="L12" s="6" t="s">
        <v>30</v>
      </c>
      <c r="M12" s="6" t="s">
        <v>30</v>
      </c>
      <c r="N12" s="6" t="s">
        <v>31</v>
      </c>
      <c r="O12" s="6"/>
      <c r="P12" s="6" t="s">
        <v>27</v>
      </c>
      <c r="Q12" s="6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13.2">
      <c r="A13" s="5">
        <v>44523.492477858796</v>
      </c>
      <c r="B13" s="6"/>
      <c r="C13" s="6" t="s">
        <v>18</v>
      </c>
      <c r="D13" s="290" t="s">
        <v>48</v>
      </c>
      <c r="E13" s="6" t="s">
        <v>20</v>
      </c>
      <c r="F13" s="6" t="s">
        <v>39</v>
      </c>
      <c r="G13" s="6" t="s">
        <v>49</v>
      </c>
      <c r="H13" s="6" t="s">
        <v>33</v>
      </c>
      <c r="I13" s="6" t="s">
        <v>20</v>
      </c>
      <c r="J13" s="6" t="s">
        <v>50</v>
      </c>
      <c r="K13" s="6" t="s">
        <v>25</v>
      </c>
      <c r="L13" s="6" t="s">
        <v>20</v>
      </c>
      <c r="M13" s="6" t="s">
        <v>30</v>
      </c>
      <c r="N13" s="6" t="s">
        <v>31</v>
      </c>
      <c r="O13" s="6"/>
      <c r="P13" s="6" t="s">
        <v>34</v>
      </c>
      <c r="Q13" s="6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</row>
    <row r="14" spans="1:39" ht="13.2">
      <c r="A14" s="5">
        <v>44523.503575104165</v>
      </c>
      <c r="B14" s="6"/>
      <c r="C14" s="6" t="s">
        <v>18</v>
      </c>
      <c r="D14" s="289" t="s">
        <v>19</v>
      </c>
      <c r="E14" s="6" t="s">
        <v>20</v>
      </c>
      <c r="F14" s="6" t="s">
        <v>39</v>
      </c>
      <c r="G14" s="6" t="s">
        <v>22</v>
      </c>
      <c r="H14" s="6" t="s">
        <v>42</v>
      </c>
      <c r="I14" s="6" t="s">
        <v>30</v>
      </c>
      <c r="J14" s="6"/>
      <c r="K14" s="6" t="s">
        <v>25</v>
      </c>
      <c r="L14" s="6" t="s">
        <v>30</v>
      </c>
      <c r="M14" s="6"/>
      <c r="N14" s="6" t="s">
        <v>31</v>
      </c>
      <c r="O14" s="6"/>
      <c r="P14" s="6" t="s">
        <v>34</v>
      </c>
      <c r="Q14" s="6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</row>
    <row r="15" spans="1:39" ht="13.2">
      <c r="A15" s="5">
        <v>44523.506112048606</v>
      </c>
      <c r="B15" s="6"/>
      <c r="C15" s="6" t="s">
        <v>28</v>
      </c>
      <c r="D15" s="290" t="s">
        <v>19</v>
      </c>
      <c r="E15" s="6" t="s">
        <v>20</v>
      </c>
      <c r="F15" s="6" t="s">
        <v>39</v>
      </c>
      <c r="G15" s="6" t="s">
        <v>49</v>
      </c>
      <c r="H15" s="6" t="s">
        <v>33</v>
      </c>
      <c r="I15" s="6" t="s">
        <v>30</v>
      </c>
      <c r="J15" s="6"/>
      <c r="K15" s="6" t="s">
        <v>30</v>
      </c>
      <c r="L15" s="6" t="s">
        <v>30</v>
      </c>
      <c r="M15" s="6" t="s">
        <v>30</v>
      </c>
      <c r="N15" s="6" t="s">
        <v>51</v>
      </c>
      <c r="O15" s="6"/>
      <c r="P15" s="6" t="s">
        <v>27</v>
      </c>
      <c r="Q15" s="6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</row>
    <row r="16" spans="1:39" ht="13.2">
      <c r="A16" s="5">
        <v>44523.506259953705</v>
      </c>
      <c r="B16" s="6"/>
      <c r="C16" s="6" t="s">
        <v>18</v>
      </c>
      <c r="D16" s="289" t="s">
        <v>19</v>
      </c>
      <c r="E16" s="6" t="s">
        <v>20</v>
      </c>
      <c r="F16" s="6" t="s">
        <v>39</v>
      </c>
      <c r="G16" s="6" t="s">
        <v>49</v>
      </c>
      <c r="H16" s="6" t="s">
        <v>33</v>
      </c>
      <c r="I16" s="6" t="s">
        <v>30</v>
      </c>
      <c r="J16" s="6"/>
      <c r="K16" s="6" t="s">
        <v>25</v>
      </c>
      <c r="L16" s="6" t="s">
        <v>30</v>
      </c>
      <c r="M16" s="6"/>
      <c r="N16" s="6" t="s">
        <v>31</v>
      </c>
      <c r="O16" s="6"/>
      <c r="P16" s="6" t="s">
        <v>27</v>
      </c>
      <c r="Q16" s="6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</row>
    <row r="17" spans="1:39" ht="13.2">
      <c r="A17" s="5">
        <v>44523.50782702546</v>
      </c>
      <c r="B17" s="6"/>
      <c r="C17" s="6" t="s">
        <v>18</v>
      </c>
      <c r="D17" s="290" t="s">
        <v>19</v>
      </c>
      <c r="E17" s="6" t="s">
        <v>20</v>
      </c>
      <c r="F17" s="6" t="s">
        <v>32</v>
      </c>
      <c r="G17" s="6" t="s">
        <v>40</v>
      </c>
      <c r="H17" s="6" t="s">
        <v>33</v>
      </c>
      <c r="I17" s="6" t="s">
        <v>30</v>
      </c>
      <c r="J17" s="6"/>
      <c r="K17" s="6" t="s">
        <v>25</v>
      </c>
      <c r="L17" s="6" t="s">
        <v>20</v>
      </c>
      <c r="M17" s="6" t="s">
        <v>20</v>
      </c>
      <c r="N17" s="6" t="s">
        <v>31</v>
      </c>
      <c r="O17" s="6"/>
      <c r="P17" s="6" t="s">
        <v>52</v>
      </c>
      <c r="Q17" s="6" t="s">
        <v>53</v>
      </c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</row>
    <row r="18" spans="1:39" ht="13.2">
      <c r="A18" s="5">
        <v>44523.510941469911</v>
      </c>
      <c r="B18" s="6"/>
      <c r="C18" s="6" t="s">
        <v>28</v>
      </c>
      <c r="D18" s="289" t="s">
        <v>19</v>
      </c>
      <c r="E18" s="6" t="s">
        <v>20</v>
      </c>
      <c r="F18" s="6" t="s">
        <v>35</v>
      </c>
      <c r="G18" s="6" t="s">
        <v>54</v>
      </c>
      <c r="H18" s="6" t="s">
        <v>42</v>
      </c>
      <c r="I18" s="6" t="s">
        <v>20</v>
      </c>
      <c r="J18" s="6" t="s">
        <v>55</v>
      </c>
      <c r="K18" s="6" t="s">
        <v>30</v>
      </c>
      <c r="L18" s="6" t="s">
        <v>30</v>
      </c>
      <c r="M18" s="6"/>
      <c r="N18" s="6" t="s">
        <v>31</v>
      </c>
      <c r="O18" s="6"/>
      <c r="P18" s="6" t="s">
        <v>34</v>
      </c>
      <c r="Q18" s="6" t="s">
        <v>56</v>
      </c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</row>
    <row r="19" spans="1:39" ht="13.2">
      <c r="A19" s="5">
        <v>44523.511566643516</v>
      </c>
      <c r="B19" s="6"/>
      <c r="C19" s="6" t="s">
        <v>18</v>
      </c>
      <c r="D19" s="290" t="s">
        <v>19</v>
      </c>
      <c r="E19" s="6" t="s">
        <v>20</v>
      </c>
      <c r="F19" s="6" t="s">
        <v>35</v>
      </c>
      <c r="G19" s="6" t="s">
        <v>40</v>
      </c>
      <c r="H19" s="6" t="s">
        <v>42</v>
      </c>
      <c r="I19" s="6" t="s">
        <v>20</v>
      </c>
      <c r="J19" s="6" t="s">
        <v>57</v>
      </c>
      <c r="K19" s="6" t="s">
        <v>25</v>
      </c>
      <c r="L19" s="6" t="s">
        <v>30</v>
      </c>
      <c r="M19" s="6"/>
      <c r="N19" s="6" t="s">
        <v>31</v>
      </c>
      <c r="O19" s="6"/>
      <c r="P19" s="6" t="s">
        <v>27</v>
      </c>
      <c r="Q19" s="6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</row>
    <row r="20" spans="1:39" ht="13.2">
      <c r="A20" s="5">
        <v>44523.520054837965</v>
      </c>
      <c r="B20" s="6"/>
      <c r="C20" s="6" t="s">
        <v>18</v>
      </c>
      <c r="D20" s="289" t="s">
        <v>19</v>
      </c>
      <c r="E20" s="6" t="s">
        <v>20</v>
      </c>
      <c r="F20" s="6" t="s">
        <v>58</v>
      </c>
      <c r="G20" s="6" t="s">
        <v>40</v>
      </c>
      <c r="H20" s="6" t="s">
        <v>33</v>
      </c>
      <c r="I20" s="6" t="s">
        <v>30</v>
      </c>
      <c r="J20" s="6"/>
      <c r="K20" s="6" t="s">
        <v>20</v>
      </c>
      <c r="L20" s="6" t="s">
        <v>20</v>
      </c>
      <c r="M20" s="6" t="s">
        <v>20</v>
      </c>
      <c r="N20" s="6" t="s">
        <v>31</v>
      </c>
      <c r="O20" s="6"/>
      <c r="P20" s="6" t="s">
        <v>34</v>
      </c>
      <c r="Q20" s="6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</row>
    <row r="21" spans="1:39" ht="13.2">
      <c r="A21" s="5">
        <v>44523.526356504633</v>
      </c>
      <c r="B21" s="6"/>
      <c r="C21" s="6" t="s">
        <v>28</v>
      </c>
      <c r="D21" s="290" t="s">
        <v>19</v>
      </c>
      <c r="E21" s="6" t="s">
        <v>30</v>
      </c>
      <c r="F21" s="6"/>
      <c r="G21" s="6" t="s">
        <v>49</v>
      </c>
      <c r="H21" s="6" t="s">
        <v>36</v>
      </c>
      <c r="I21" s="6" t="s">
        <v>30</v>
      </c>
      <c r="J21" s="6"/>
      <c r="K21" s="6" t="s">
        <v>30</v>
      </c>
      <c r="L21" s="6" t="s">
        <v>30</v>
      </c>
      <c r="M21" s="6" t="s">
        <v>30</v>
      </c>
      <c r="N21" s="6" t="s">
        <v>51</v>
      </c>
      <c r="O21" s="6"/>
      <c r="P21" s="6" t="s">
        <v>52</v>
      </c>
      <c r="Q21" s="6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</row>
    <row r="22" spans="1:39" ht="13.2">
      <c r="A22" s="5">
        <v>44523.535717673614</v>
      </c>
      <c r="B22" s="6"/>
      <c r="C22" s="6" t="s">
        <v>18</v>
      </c>
      <c r="D22" s="289" t="s">
        <v>19</v>
      </c>
      <c r="E22" s="6" t="s">
        <v>20</v>
      </c>
      <c r="F22" s="6" t="s">
        <v>35</v>
      </c>
      <c r="G22" s="6" t="s">
        <v>22</v>
      </c>
      <c r="H22" s="6" t="s">
        <v>42</v>
      </c>
      <c r="I22" s="6" t="s">
        <v>20</v>
      </c>
      <c r="J22" s="6" t="s">
        <v>59</v>
      </c>
      <c r="K22" s="6" t="s">
        <v>20</v>
      </c>
      <c r="L22" s="6" t="s">
        <v>20</v>
      </c>
      <c r="M22" s="6" t="s">
        <v>30</v>
      </c>
      <c r="N22" s="6" t="s">
        <v>26</v>
      </c>
      <c r="O22" s="6" t="s">
        <v>60</v>
      </c>
      <c r="P22" s="6" t="s">
        <v>27</v>
      </c>
      <c r="Q22" s="6" t="s">
        <v>61</v>
      </c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</row>
    <row r="23" spans="1:39" ht="13.2">
      <c r="A23" s="5">
        <v>44523.536001689819</v>
      </c>
      <c r="B23" s="6"/>
      <c r="C23" s="6" t="s">
        <v>18</v>
      </c>
      <c r="D23" s="290" t="s">
        <v>48</v>
      </c>
      <c r="E23" s="6" t="s">
        <v>20</v>
      </c>
      <c r="F23" s="6" t="s">
        <v>35</v>
      </c>
      <c r="G23" s="6" t="s">
        <v>22</v>
      </c>
      <c r="H23" s="6" t="s">
        <v>42</v>
      </c>
      <c r="I23" s="6" t="s">
        <v>30</v>
      </c>
      <c r="J23" s="6"/>
      <c r="K23" s="6" t="s">
        <v>30</v>
      </c>
      <c r="L23" s="6" t="s">
        <v>20</v>
      </c>
      <c r="M23" s="6" t="s">
        <v>20</v>
      </c>
      <c r="N23" s="6" t="s">
        <v>31</v>
      </c>
      <c r="O23" s="6"/>
      <c r="P23" s="6" t="s">
        <v>27</v>
      </c>
      <c r="Q23" s="6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</row>
    <row r="24" spans="1:39" ht="13.2">
      <c r="A24" s="5">
        <v>44523.544029583332</v>
      </c>
      <c r="B24" s="6"/>
      <c r="C24" s="6" t="s">
        <v>18</v>
      </c>
      <c r="D24" s="289" t="s">
        <v>62</v>
      </c>
      <c r="E24" s="6" t="s">
        <v>20</v>
      </c>
      <c r="F24" s="6" t="s">
        <v>39</v>
      </c>
      <c r="G24" s="6" t="s">
        <v>22</v>
      </c>
      <c r="H24" s="6" t="s">
        <v>63</v>
      </c>
      <c r="I24" s="6" t="s">
        <v>20</v>
      </c>
      <c r="J24" s="6" t="s">
        <v>64</v>
      </c>
      <c r="K24" s="6" t="s">
        <v>20</v>
      </c>
      <c r="L24" s="6" t="s">
        <v>20</v>
      </c>
      <c r="M24" s="6" t="s">
        <v>30</v>
      </c>
      <c r="N24" s="6" t="s">
        <v>26</v>
      </c>
      <c r="O24" s="7" t="s">
        <v>65</v>
      </c>
      <c r="P24" s="6" t="s">
        <v>27</v>
      </c>
      <c r="Q24" s="6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</row>
    <row r="25" spans="1:39" ht="13.2">
      <c r="A25" s="5">
        <v>44523.544880671296</v>
      </c>
      <c r="B25" s="6"/>
      <c r="C25" s="6" t="s">
        <v>18</v>
      </c>
      <c r="D25" s="290" t="s">
        <v>19</v>
      </c>
      <c r="E25" s="6" t="s">
        <v>20</v>
      </c>
      <c r="F25" s="6" t="s">
        <v>35</v>
      </c>
      <c r="G25" s="6" t="s">
        <v>22</v>
      </c>
      <c r="H25" s="6" t="s">
        <v>36</v>
      </c>
      <c r="I25" s="6" t="s">
        <v>30</v>
      </c>
      <c r="J25" s="6"/>
      <c r="K25" s="6" t="s">
        <v>20</v>
      </c>
      <c r="L25" s="6" t="s">
        <v>30</v>
      </c>
      <c r="M25" s="6"/>
      <c r="N25" s="6" t="s">
        <v>31</v>
      </c>
      <c r="O25" s="6"/>
      <c r="P25" s="6" t="s">
        <v>34</v>
      </c>
      <c r="Q25" s="6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</row>
    <row r="26" spans="1:39" ht="13.2">
      <c r="A26" s="5">
        <v>44523.545528182869</v>
      </c>
      <c r="B26" s="6"/>
      <c r="C26" s="6" t="s">
        <v>18</v>
      </c>
      <c r="D26" s="289" t="s">
        <v>19</v>
      </c>
      <c r="E26" s="6" t="s">
        <v>20</v>
      </c>
      <c r="F26" s="6" t="s">
        <v>35</v>
      </c>
      <c r="G26" s="6" t="s">
        <v>22</v>
      </c>
      <c r="H26" s="6" t="s">
        <v>42</v>
      </c>
      <c r="I26" s="6" t="s">
        <v>20</v>
      </c>
      <c r="J26" s="6" t="s">
        <v>66</v>
      </c>
      <c r="K26" s="6" t="s">
        <v>20</v>
      </c>
      <c r="L26" s="6" t="s">
        <v>20</v>
      </c>
      <c r="M26" s="6" t="s">
        <v>20</v>
      </c>
      <c r="N26" s="6" t="s">
        <v>31</v>
      </c>
      <c r="O26" s="6"/>
      <c r="P26" s="6" t="s">
        <v>52</v>
      </c>
      <c r="Q26" s="6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</row>
    <row r="27" spans="1:39" ht="13.2">
      <c r="A27" s="5">
        <v>44523.560441979163</v>
      </c>
      <c r="B27" s="6"/>
      <c r="C27" s="6" t="s">
        <v>28</v>
      </c>
      <c r="D27" s="290" t="s">
        <v>19</v>
      </c>
      <c r="E27" s="6" t="s">
        <v>20</v>
      </c>
      <c r="F27" s="6" t="s">
        <v>35</v>
      </c>
      <c r="G27" s="6" t="s">
        <v>40</v>
      </c>
      <c r="H27" s="6" t="s">
        <v>67</v>
      </c>
      <c r="I27" s="6" t="s">
        <v>20</v>
      </c>
      <c r="J27" s="6" t="s">
        <v>68</v>
      </c>
      <c r="K27" s="6" t="s">
        <v>25</v>
      </c>
      <c r="L27" s="6" t="s">
        <v>30</v>
      </c>
      <c r="M27" s="6"/>
      <c r="N27" s="6" t="s">
        <v>31</v>
      </c>
      <c r="O27" s="6"/>
      <c r="P27" s="6" t="s">
        <v>27</v>
      </c>
      <c r="Q27" s="6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</row>
    <row r="28" spans="1:39" ht="13.2">
      <c r="A28" s="5">
        <v>44523.56129755787</v>
      </c>
      <c r="B28" s="6"/>
      <c r="C28" s="6" t="s">
        <v>18</v>
      </c>
      <c r="D28" s="289" t="s">
        <v>19</v>
      </c>
      <c r="E28" s="6" t="s">
        <v>20</v>
      </c>
      <c r="F28" s="6" t="s">
        <v>21</v>
      </c>
      <c r="G28" s="6" t="s">
        <v>40</v>
      </c>
      <c r="H28" s="6" t="s">
        <v>33</v>
      </c>
      <c r="I28" s="6" t="s">
        <v>30</v>
      </c>
      <c r="J28" s="6"/>
      <c r="K28" s="6" t="s">
        <v>20</v>
      </c>
      <c r="L28" s="6" t="s">
        <v>20</v>
      </c>
      <c r="M28" s="6" t="s">
        <v>20</v>
      </c>
      <c r="N28" s="6" t="s">
        <v>31</v>
      </c>
      <c r="O28" s="6"/>
      <c r="P28" s="6" t="s">
        <v>27</v>
      </c>
      <c r="Q28" s="6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</row>
    <row r="29" spans="1:39" ht="13.2">
      <c r="A29" s="5">
        <v>44523.582970034724</v>
      </c>
      <c r="B29" s="6"/>
      <c r="C29" s="6" t="s">
        <v>28</v>
      </c>
      <c r="D29" s="290" t="s">
        <v>19</v>
      </c>
      <c r="E29" s="6" t="s">
        <v>20</v>
      </c>
      <c r="F29" s="6" t="s">
        <v>32</v>
      </c>
      <c r="G29" s="6" t="s">
        <v>40</v>
      </c>
      <c r="H29" s="6" t="s">
        <v>33</v>
      </c>
      <c r="I29" s="6" t="s">
        <v>30</v>
      </c>
      <c r="J29" s="6"/>
      <c r="K29" s="6" t="s">
        <v>30</v>
      </c>
      <c r="L29" s="6" t="s">
        <v>30</v>
      </c>
      <c r="M29" s="6"/>
      <c r="N29" s="6" t="s">
        <v>31</v>
      </c>
      <c r="O29" s="6"/>
      <c r="P29" s="6" t="s">
        <v>27</v>
      </c>
      <c r="Q29" s="6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</row>
    <row r="30" spans="1:39" ht="13.2">
      <c r="A30" s="5">
        <v>44523.583187627315</v>
      </c>
      <c r="B30" s="6"/>
      <c r="C30" s="6" t="s">
        <v>18</v>
      </c>
      <c r="D30" s="289" t="s">
        <v>19</v>
      </c>
      <c r="E30" s="6" t="s">
        <v>20</v>
      </c>
      <c r="F30" s="6" t="s">
        <v>39</v>
      </c>
      <c r="G30" s="6" t="s">
        <v>22</v>
      </c>
      <c r="H30" s="6" t="s">
        <v>42</v>
      </c>
      <c r="I30" s="6" t="s">
        <v>20</v>
      </c>
      <c r="J30" s="6" t="s">
        <v>69</v>
      </c>
      <c r="K30" s="6" t="s">
        <v>20</v>
      </c>
      <c r="L30" s="6" t="s">
        <v>20</v>
      </c>
      <c r="M30" s="6" t="s">
        <v>20</v>
      </c>
      <c r="N30" s="6" t="s">
        <v>26</v>
      </c>
      <c r="O30" s="6" t="s">
        <v>70</v>
      </c>
      <c r="P30" s="6" t="s">
        <v>34</v>
      </c>
      <c r="Q30" s="6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</row>
    <row r="31" spans="1:39" ht="13.2">
      <c r="A31" s="5">
        <v>44523.586662569447</v>
      </c>
      <c r="B31" s="6"/>
      <c r="C31" s="6" t="s">
        <v>28</v>
      </c>
      <c r="D31" s="290" t="s">
        <v>19</v>
      </c>
      <c r="E31" s="6" t="s">
        <v>20</v>
      </c>
      <c r="F31" s="6" t="s">
        <v>39</v>
      </c>
      <c r="G31" s="6" t="s">
        <v>54</v>
      </c>
      <c r="H31" s="6" t="s">
        <v>63</v>
      </c>
      <c r="I31" s="6" t="s">
        <v>30</v>
      </c>
      <c r="J31" s="6"/>
      <c r="K31" s="6" t="s">
        <v>20</v>
      </c>
      <c r="L31" s="6" t="s">
        <v>30</v>
      </c>
      <c r="M31" s="6"/>
      <c r="N31" s="6" t="s">
        <v>51</v>
      </c>
      <c r="O31" s="6"/>
      <c r="P31" s="6" t="s">
        <v>27</v>
      </c>
      <c r="Q31" s="6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</row>
    <row r="32" spans="1:39" ht="13.2">
      <c r="A32" s="5">
        <v>44523.592277094911</v>
      </c>
      <c r="B32" s="6"/>
      <c r="C32" s="6" t="s">
        <v>18</v>
      </c>
      <c r="D32" s="289" t="s">
        <v>48</v>
      </c>
      <c r="E32" s="6" t="s">
        <v>20</v>
      </c>
      <c r="F32" s="6" t="s">
        <v>32</v>
      </c>
      <c r="G32" s="6" t="s">
        <v>22</v>
      </c>
      <c r="H32" s="6" t="s">
        <v>33</v>
      </c>
      <c r="I32" s="6" t="s">
        <v>20</v>
      </c>
      <c r="J32" s="6" t="s">
        <v>71</v>
      </c>
      <c r="K32" s="6" t="s">
        <v>20</v>
      </c>
      <c r="L32" s="6" t="s">
        <v>20</v>
      </c>
      <c r="M32" s="6" t="s">
        <v>20</v>
      </c>
      <c r="N32" s="6" t="s">
        <v>26</v>
      </c>
      <c r="O32" s="6" t="s">
        <v>72</v>
      </c>
      <c r="P32" s="6" t="s">
        <v>34</v>
      </c>
      <c r="Q32" s="6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</row>
    <row r="33" spans="1:39" ht="13.2">
      <c r="A33" s="5">
        <v>44523.594718206019</v>
      </c>
      <c r="B33" s="6"/>
      <c r="C33" s="6" t="s">
        <v>28</v>
      </c>
      <c r="D33" s="290" t="s">
        <v>48</v>
      </c>
      <c r="E33" s="6" t="s">
        <v>20</v>
      </c>
      <c r="F33" s="6" t="s">
        <v>35</v>
      </c>
      <c r="G33" s="6" t="s">
        <v>54</v>
      </c>
      <c r="H33" s="6" t="s">
        <v>42</v>
      </c>
      <c r="I33" s="6" t="s">
        <v>30</v>
      </c>
      <c r="J33" s="6"/>
      <c r="K33" s="6" t="s">
        <v>20</v>
      </c>
      <c r="L33" s="6" t="s">
        <v>30</v>
      </c>
      <c r="M33" s="6"/>
      <c r="N33" s="6" t="s">
        <v>31</v>
      </c>
      <c r="O33" s="6"/>
      <c r="P33" s="6" t="s">
        <v>34</v>
      </c>
      <c r="Q33" s="6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</row>
    <row r="34" spans="1:39" ht="16.5" customHeight="1">
      <c r="A34" s="5">
        <v>44523.596037581017</v>
      </c>
      <c r="B34" s="6"/>
      <c r="C34" s="6" t="s">
        <v>18</v>
      </c>
      <c r="D34" s="289" t="s">
        <v>19</v>
      </c>
      <c r="E34" s="6" t="s">
        <v>20</v>
      </c>
      <c r="F34" s="6" t="s">
        <v>39</v>
      </c>
      <c r="G34" s="6" t="s">
        <v>22</v>
      </c>
      <c r="H34" s="6" t="s">
        <v>42</v>
      </c>
      <c r="I34" s="6" t="s">
        <v>20</v>
      </c>
      <c r="J34" s="6"/>
      <c r="K34" s="6" t="s">
        <v>25</v>
      </c>
      <c r="L34" s="6" t="s">
        <v>20</v>
      </c>
      <c r="M34" s="6" t="s">
        <v>20</v>
      </c>
      <c r="N34" s="6" t="s">
        <v>26</v>
      </c>
      <c r="O34" s="6"/>
      <c r="P34" s="6" t="s">
        <v>34</v>
      </c>
      <c r="Q34" s="6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</row>
    <row r="35" spans="1:39" ht="13.2">
      <c r="A35" s="5">
        <v>44523.599777442127</v>
      </c>
      <c r="B35" s="6"/>
      <c r="C35" s="6" t="s">
        <v>18</v>
      </c>
      <c r="D35" s="290" t="s">
        <v>19</v>
      </c>
      <c r="E35" s="6" t="s">
        <v>20</v>
      </c>
      <c r="F35" s="6" t="s">
        <v>39</v>
      </c>
      <c r="G35" s="6" t="s">
        <v>22</v>
      </c>
      <c r="H35" s="6" t="s">
        <v>33</v>
      </c>
      <c r="I35" s="6" t="s">
        <v>30</v>
      </c>
      <c r="J35" s="6"/>
      <c r="K35" s="6" t="s">
        <v>30</v>
      </c>
      <c r="L35" s="6" t="s">
        <v>30</v>
      </c>
      <c r="M35" s="6"/>
      <c r="N35" s="6" t="s">
        <v>31</v>
      </c>
      <c r="O35" s="6"/>
      <c r="P35" s="6" t="s">
        <v>27</v>
      </c>
      <c r="Q35" s="6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</row>
    <row r="36" spans="1:39" ht="13.2">
      <c r="A36" s="5">
        <v>44523.619829444448</v>
      </c>
      <c r="B36" s="6"/>
      <c r="C36" s="6" t="s">
        <v>28</v>
      </c>
      <c r="D36" s="289" t="s">
        <v>19</v>
      </c>
      <c r="E36" s="6" t="s">
        <v>20</v>
      </c>
      <c r="F36" s="6" t="s">
        <v>21</v>
      </c>
      <c r="G36" s="6" t="s">
        <v>40</v>
      </c>
      <c r="H36" s="6" t="s">
        <v>23</v>
      </c>
      <c r="I36" s="6" t="s">
        <v>20</v>
      </c>
      <c r="J36" s="6" t="s">
        <v>73</v>
      </c>
      <c r="K36" s="6" t="s">
        <v>30</v>
      </c>
      <c r="L36" s="6" t="s">
        <v>30</v>
      </c>
      <c r="M36" s="6"/>
      <c r="N36" s="6" t="s">
        <v>31</v>
      </c>
      <c r="O36" s="6"/>
      <c r="P36" s="6" t="s">
        <v>27</v>
      </c>
      <c r="Q36" s="6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</row>
    <row r="37" spans="1:39" ht="13.2">
      <c r="A37" s="5">
        <v>44523.634893495371</v>
      </c>
      <c r="B37" s="6"/>
      <c r="C37" s="6" t="s">
        <v>28</v>
      </c>
      <c r="D37" s="290" t="s">
        <v>19</v>
      </c>
      <c r="E37" s="6" t="s">
        <v>20</v>
      </c>
      <c r="F37" s="6" t="s">
        <v>39</v>
      </c>
      <c r="G37" s="6" t="s">
        <v>22</v>
      </c>
      <c r="H37" s="6" t="s">
        <v>33</v>
      </c>
      <c r="I37" s="6" t="s">
        <v>30</v>
      </c>
      <c r="J37" s="6"/>
      <c r="K37" s="6" t="s">
        <v>25</v>
      </c>
      <c r="L37" s="6" t="s">
        <v>30</v>
      </c>
      <c r="M37" s="6"/>
      <c r="N37" s="6" t="s">
        <v>31</v>
      </c>
      <c r="O37" s="6"/>
      <c r="P37" s="6" t="s">
        <v>34</v>
      </c>
      <c r="Q37" s="6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</row>
    <row r="38" spans="1:39" ht="13.2">
      <c r="A38" s="5">
        <v>44523.637597025459</v>
      </c>
      <c r="B38" s="6"/>
      <c r="C38" s="6" t="s">
        <v>28</v>
      </c>
      <c r="D38" s="289" t="s">
        <v>19</v>
      </c>
      <c r="E38" s="6" t="s">
        <v>20</v>
      </c>
      <c r="F38" s="6" t="s">
        <v>39</v>
      </c>
      <c r="G38" s="6" t="s">
        <v>22</v>
      </c>
      <c r="H38" s="6" t="s">
        <v>33</v>
      </c>
      <c r="I38" s="6" t="s">
        <v>30</v>
      </c>
      <c r="J38" s="6"/>
      <c r="K38" s="6" t="s">
        <v>30</v>
      </c>
      <c r="L38" s="6" t="s">
        <v>30</v>
      </c>
      <c r="M38" s="6"/>
      <c r="N38" s="6" t="s">
        <v>31</v>
      </c>
      <c r="O38" s="6"/>
      <c r="P38" s="6" t="s">
        <v>27</v>
      </c>
      <c r="Q38" s="6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</row>
    <row r="39" spans="1:39" ht="13.2">
      <c r="A39" s="5">
        <v>44523.638933645838</v>
      </c>
      <c r="B39" s="6"/>
      <c r="C39" s="6" t="s">
        <v>28</v>
      </c>
      <c r="D39" s="290" t="s">
        <v>19</v>
      </c>
      <c r="E39" s="6" t="s">
        <v>20</v>
      </c>
      <c r="F39" s="6" t="s">
        <v>74</v>
      </c>
      <c r="G39" s="6" t="s">
        <v>22</v>
      </c>
      <c r="H39" s="6" t="s">
        <v>23</v>
      </c>
      <c r="I39" s="6" t="s">
        <v>20</v>
      </c>
      <c r="J39" s="6" t="s">
        <v>75</v>
      </c>
      <c r="K39" s="6" t="s">
        <v>25</v>
      </c>
      <c r="L39" s="6" t="s">
        <v>30</v>
      </c>
      <c r="M39" s="6"/>
      <c r="N39" s="6" t="s">
        <v>31</v>
      </c>
      <c r="O39" s="6"/>
      <c r="P39" s="6" t="s">
        <v>27</v>
      </c>
      <c r="Q39" s="6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</row>
    <row r="40" spans="1:39" ht="13.2">
      <c r="A40" s="5">
        <v>44523.644740023148</v>
      </c>
      <c r="B40" s="6"/>
      <c r="C40" s="6" t="s">
        <v>18</v>
      </c>
      <c r="D40" s="289" t="s">
        <v>19</v>
      </c>
      <c r="E40" s="6" t="s">
        <v>20</v>
      </c>
      <c r="F40" s="6" t="s">
        <v>35</v>
      </c>
      <c r="G40" s="6" t="s">
        <v>40</v>
      </c>
      <c r="H40" s="6" t="s">
        <v>42</v>
      </c>
      <c r="I40" s="6" t="s">
        <v>20</v>
      </c>
      <c r="J40" s="6" t="s">
        <v>76</v>
      </c>
      <c r="K40" s="6" t="s">
        <v>25</v>
      </c>
      <c r="L40" s="6" t="s">
        <v>20</v>
      </c>
      <c r="M40" s="6" t="s">
        <v>20</v>
      </c>
      <c r="N40" s="6" t="s">
        <v>26</v>
      </c>
      <c r="O40" s="6" t="s">
        <v>77</v>
      </c>
      <c r="P40" s="6" t="s">
        <v>27</v>
      </c>
      <c r="Q40" s="6" t="s">
        <v>78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</row>
    <row r="41" spans="1:39" ht="13.2">
      <c r="A41" s="5">
        <v>44524.513238032407</v>
      </c>
      <c r="B41" s="6"/>
      <c r="C41" s="6" t="s">
        <v>79</v>
      </c>
      <c r="D41" s="290" t="s">
        <v>19</v>
      </c>
      <c r="E41" s="6" t="s">
        <v>30</v>
      </c>
      <c r="F41" s="6"/>
      <c r="G41" s="6"/>
      <c r="H41" s="6"/>
      <c r="I41" s="6"/>
      <c r="J41" s="6"/>
      <c r="K41" s="6" t="s">
        <v>20</v>
      </c>
      <c r="L41" s="6" t="s">
        <v>20</v>
      </c>
      <c r="M41" s="6" t="s">
        <v>30</v>
      </c>
      <c r="N41" s="6" t="s">
        <v>26</v>
      </c>
      <c r="O41" s="6"/>
      <c r="P41" s="6" t="s">
        <v>27</v>
      </c>
      <c r="Q41" s="6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</row>
    <row r="42" spans="1:39" ht="13.2">
      <c r="A42" s="5">
        <v>44523.646698912038</v>
      </c>
      <c r="B42" s="6"/>
      <c r="C42" s="6" t="s">
        <v>18</v>
      </c>
      <c r="D42" s="289" t="s">
        <v>19</v>
      </c>
      <c r="E42" s="6" t="s">
        <v>30</v>
      </c>
      <c r="F42" s="6"/>
      <c r="G42" s="6"/>
      <c r="H42" s="6" t="s">
        <v>23</v>
      </c>
      <c r="I42" s="6" t="s">
        <v>20</v>
      </c>
      <c r="J42" s="6" t="s">
        <v>80</v>
      </c>
      <c r="K42" s="6" t="s">
        <v>20</v>
      </c>
      <c r="L42" s="6" t="s">
        <v>30</v>
      </c>
      <c r="M42" s="6"/>
      <c r="N42" s="6" t="s">
        <v>26</v>
      </c>
      <c r="O42" s="6"/>
      <c r="P42" s="6" t="s">
        <v>34</v>
      </c>
      <c r="Q42" s="6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</row>
    <row r="43" spans="1:39" ht="13.2">
      <c r="A43" s="5">
        <v>44523.693443912038</v>
      </c>
      <c r="B43" s="6"/>
      <c r="C43" s="6" t="s">
        <v>28</v>
      </c>
      <c r="D43" s="290" t="s">
        <v>19</v>
      </c>
      <c r="E43" s="6" t="s">
        <v>20</v>
      </c>
      <c r="F43" s="6" t="s">
        <v>39</v>
      </c>
      <c r="G43" s="6" t="s">
        <v>40</v>
      </c>
      <c r="H43" s="6" t="s">
        <v>23</v>
      </c>
      <c r="I43" s="6" t="s">
        <v>30</v>
      </c>
      <c r="J43" s="6"/>
      <c r="K43" s="6" t="s">
        <v>30</v>
      </c>
      <c r="L43" s="6" t="s">
        <v>30</v>
      </c>
      <c r="M43" s="6"/>
      <c r="N43" s="6" t="s">
        <v>31</v>
      </c>
      <c r="O43" s="6"/>
      <c r="P43" s="6" t="s">
        <v>27</v>
      </c>
      <c r="Q43" s="6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</row>
    <row r="44" spans="1:39" ht="13.2">
      <c r="A44" s="5">
        <v>44523.701219490744</v>
      </c>
      <c r="B44" s="6"/>
      <c r="C44" s="6" t="s">
        <v>18</v>
      </c>
      <c r="D44" s="289" t="s">
        <v>19</v>
      </c>
      <c r="E44" s="6" t="s">
        <v>30</v>
      </c>
      <c r="F44" s="6" t="s">
        <v>32</v>
      </c>
      <c r="G44" s="6" t="s">
        <v>49</v>
      </c>
      <c r="H44" s="6" t="s">
        <v>23</v>
      </c>
      <c r="I44" s="6" t="s">
        <v>20</v>
      </c>
      <c r="J44" s="6" t="s">
        <v>81</v>
      </c>
      <c r="K44" s="6" t="s">
        <v>20</v>
      </c>
      <c r="L44" s="6" t="s">
        <v>20</v>
      </c>
      <c r="M44" s="6" t="s">
        <v>20</v>
      </c>
      <c r="N44" s="6" t="s">
        <v>31</v>
      </c>
      <c r="O44" s="6"/>
      <c r="P44" s="6" t="s">
        <v>27</v>
      </c>
      <c r="Q44" s="6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</row>
    <row r="45" spans="1:39" ht="13.2">
      <c r="A45" s="5">
        <v>44523.75036071759</v>
      </c>
      <c r="B45" s="6"/>
      <c r="C45" s="6" t="s">
        <v>28</v>
      </c>
      <c r="D45" s="290" t="s">
        <v>19</v>
      </c>
      <c r="E45" s="6" t="s">
        <v>20</v>
      </c>
      <c r="F45" s="6" t="s">
        <v>82</v>
      </c>
      <c r="G45" s="6" t="s">
        <v>22</v>
      </c>
      <c r="H45" s="6" t="s">
        <v>67</v>
      </c>
      <c r="I45" s="6" t="s">
        <v>20</v>
      </c>
      <c r="J45" s="6"/>
      <c r="K45" s="6" t="s">
        <v>20</v>
      </c>
      <c r="L45" s="6" t="s">
        <v>30</v>
      </c>
      <c r="M45" s="6"/>
      <c r="N45" s="6" t="s">
        <v>31</v>
      </c>
      <c r="O45" s="6"/>
      <c r="P45" s="6" t="s">
        <v>34</v>
      </c>
      <c r="Q45" s="6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</row>
    <row r="46" spans="1:39" ht="13.2">
      <c r="A46" s="5">
        <v>44523.809099513892</v>
      </c>
      <c r="B46" s="6"/>
      <c r="C46" s="6" t="s">
        <v>18</v>
      </c>
      <c r="D46" s="289" t="s">
        <v>48</v>
      </c>
      <c r="E46" s="6" t="s">
        <v>20</v>
      </c>
      <c r="F46" s="6" t="s">
        <v>83</v>
      </c>
      <c r="G46" s="6" t="s">
        <v>40</v>
      </c>
      <c r="H46" s="6" t="s">
        <v>63</v>
      </c>
      <c r="I46" s="6" t="s">
        <v>30</v>
      </c>
      <c r="J46" s="6"/>
      <c r="K46" s="6" t="s">
        <v>25</v>
      </c>
      <c r="L46" s="6" t="s">
        <v>30</v>
      </c>
      <c r="M46" s="6"/>
      <c r="N46" s="6" t="s">
        <v>26</v>
      </c>
      <c r="O46" s="6" t="s">
        <v>84</v>
      </c>
      <c r="P46" s="6" t="s">
        <v>27</v>
      </c>
      <c r="Q46" s="6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</row>
    <row r="47" spans="1:39" ht="13.2">
      <c r="A47" s="5">
        <v>44523.83160075231</v>
      </c>
      <c r="B47" s="6"/>
      <c r="C47" s="6" t="s">
        <v>18</v>
      </c>
      <c r="D47" s="290" t="s">
        <v>19</v>
      </c>
      <c r="E47" s="6" t="s">
        <v>20</v>
      </c>
      <c r="F47" s="6" t="s">
        <v>82</v>
      </c>
      <c r="G47" s="6" t="s">
        <v>40</v>
      </c>
      <c r="H47" s="6" t="s">
        <v>67</v>
      </c>
      <c r="I47" s="6" t="s">
        <v>20</v>
      </c>
      <c r="J47" s="6" t="s">
        <v>85</v>
      </c>
      <c r="K47" s="6" t="s">
        <v>20</v>
      </c>
      <c r="L47" s="6" t="s">
        <v>30</v>
      </c>
      <c r="M47" s="6"/>
      <c r="N47" s="6" t="s">
        <v>26</v>
      </c>
      <c r="O47" s="6" t="s">
        <v>86</v>
      </c>
      <c r="P47" s="6" t="s">
        <v>27</v>
      </c>
      <c r="Q47" s="6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</row>
    <row r="48" spans="1:39" ht="13.2">
      <c r="A48" s="5">
        <v>44523.851294942127</v>
      </c>
      <c r="B48" s="6"/>
      <c r="C48" s="6" t="s">
        <v>18</v>
      </c>
      <c r="D48" s="289" t="s">
        <v>19</v>
      </c>
      <c r="E48" s="6" t="s">
        <v>20</v>
      </c>
      <c r="F48" s="6" t="s">
        <v>35</v>
      </c>
      <c r="G48" s="6" t="s">
        <v>49</v>
      </c>
      <c r="H48" s="6" t="s">
        <v>42</v>
      </c>
      <c r="I48" s="6" t="s">
        <v>20</v>
      </c>
      <c r="J48" s="6"/>
      <c r="K48" s="6" t="s">
        <v>25</v>
      </c>
      <c r="L48" s="6" t="s">
        <v>30</v>
      </c>
      <c r="M48" s="6"/>
      <c r="N48" s="6" t="s">
        <v>31</v>
      </c>
      <c r="O48" s="6"/>
      <c r="P48" s="6" t="s">
        <v>27</v>
      </c>
      <c r="Q48" s="6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</row>
    <row r="49" spans="1:39" ht="13.2">
      <c r="A49" s="5">
        <v>44523.854737337962</v>
      </c>
      <c r="B49" s="6"/>
      <c r="C49" s="6" t="s">
        <v>18</v>
      </c>
      <c r="D49" s="290" t="s">
        <v>87</v>
      </c>
      <c r="E49" s="6" t="s">
        <v>20</v>
      </c>
      <c r="F49" s="6" t="s">
        <v>32</v>
      </c>
      <c r="G49" s="6" t="s">
        <v>40</v>
      </c>
      <c r="H49" s="6" t="s">
        <v>36</v>
      </c>
      <c r="I49" s="6" t="s">
        <v>20</v>
      </c>
      <c r="J49" s="6" t="s">
        <v>88</v>
      </c>
      <c r="K49" s="6" t="s">
        <v>30</v>
      </c>
      <c r="L49" s="6" t="s">
        <v>30</v>
      </c>
      <c r="M49" s="6"/>
      <c r="N49" s="6" t="s">
        <v>31</v>
      </c>
      <c r="O49" s="6"/>
      <c r="P49" s="6" t="s">
        <v>34</v>
      </c>
      <c r="Q49" s="6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3.2">
      <c r="A50" s="5">
        <v>44523.856390335648</v>
      </c>
      <c r="B50" s="6"/>
      <c r="C50" s="6" t="s">
        <v>28</v>
      </c>
      <c r="D50" s="289" t="s">
        <v>19</v>
      </c>
      <c r="E50" s="6" t="s">
        <v>30</v>
      </c>
      <c r="F50" s="6" t="s">
        <v>83</v>
      </c>
      <c r="G50" s="6" t="s">
        <v>49</v>
      </c>
      <c r="H50" s="6" t="s">
        <v>63</v>
      </c>
      <c r="I50" s="6" t="s">
        <v>30</v>
      </c>
      <c r="J50" s="6"/>
      <c r="K50" s="6" t="s">
        <v>25</v>
      </c>
      <c r="L50" s="6" t="s">
        <v>30</v>
      </c>
      <c r="M50" s="6"/>
      <c r="N50" s="6" t="s">
        <v>31</v>
      </c>
      <c r="O50" s="6"/>
      <c r="P50" s="6" t="s">
        <v>27</v>
      </c>
      <c r="Q50" s="6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3.2">
      <c r="A51" s="5">
        <v>44523.869623981482</v>
      </c>
      <c r="B51" s="6"/>
      <c r="C51" s="6" t="s">
        <v>18</v>
      </c>
      <c r="D51" s="290" t="s">
        <v>19</v>
      </c>
      <c r="E51" s="6" t="s">
        <v>30</v>
      </c>
      <c r="F51" s="6" t="s">
        <v>89</v>
      </c>
      <c r="G51" s="6" t="s">
        <v>40</v>
      </c>
      <c r="H51" s="6" t="s">
        <v>33</v>
      </c>
      <c r="I51" s="6" t="s">
        <v>20</v>
      </c>
      <c r="J51" s="6"/>
      <c r="K51" s="6" t="s">
        <v>20</v>
      </c>
      <c r="L51" s="6" t="s">
        <v>30</v>
      </c>
      <c r="M51" s="6"/>
      <c r="N51" s="6" t="s">
        <v>31</v>
      </c>
      <c r="O51" s="6"/>
      <c r="P51" s="6" t="s">
        <v>34</v>
      </c>
      <c r="Q51" s="6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</row>
    <row r="52" spans="1:39" ht="13.2">
      <c r="A52" s="5">
        <v>44523.889127662042</v>
      </c>
      <c r="B52" s="6"/>
      <c r="C52" s="6" t="s">
        <v>18</v>
      </c>
      <c r="D52" s="289" t="s">
        <v>19</v>
      </c>
      <c r="E52" s="6" t="s">
        <v>20</v>
      </c>
      <c r="F52" s="6" t="s">
        <v>83</v>
      </c>
      <c r="G52" s="6" t="s">
        <v>22</v>
      </c>
      <c r="H52" s="6" t="s">
        <v>33</v>
      </c>
      <c r="I52" s="6" t="s">
        <v>30</v>
      </c>
      <c r="J52" s="6"/>
      <c r="K52" s="6" t="s">
        <v>25</v>
      </c>
      <c r="L52" s="6" t="s">
        <v>20</v>
      </c>
      <c r="M52" s="6" t="s">
        <v>30</v>
      </c>
      <c r="N52" s="6" t="s">
        <v>26</v>
      </c>
      <c r="O52" s="6" t="s">
        <v>90</v>
      </c>
      <c r="P52" s="6" t="s">
        <v>34</v>
      </c>
      <c r="Q52" s="6" t="s">
        <v>91</v>
      </c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</row>
    <row r="53" spans="1:39" ht="13.2">
      <c r="A53" s="5">
        <v>44523.934484942132</v>
      </c>
      <c r="B53" s="6"/>
      <c r="C53" s="6" t="s">
        <v>18</v>
      </c>
      <c r="D53" s="290" t="s">
        <v>48</v>
      </c>
      <c r="E53" s="6" t="s">
        <v>30</v>
      </c>
      <c r="F53" s="6" t="s">
        <v>83</v>
      </c>
      <c r="G53" s="6" t="s">
        <v>49</v>
      </c>
      <c r="H53" s="6" t="s">
        <v>33</v>
      </c>
      <c r="I53" s="6" t="s">
        <v>30</v>
      </c>
      <c r="J53" s="6"/>
      <c r="K53" s="6" t="s">
        <v>30</v>
      </c>
      <c r="L53" s="6" t="s">
        <v>30</v>
      </c>
      <c r="M53" s="6"/>
      <c r="N53" s="6" t="s">
        <v>31</v>
      </c>
      <c r="O53" s="6"/>
      <c r="P53" s="6" t="s">
        <v>34</v>
      </c>
      <c r="Q53" s="6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</row>
    <row r="54" spans="1:39" ht="13.2">
      <c r="A54" s="5">
        <v>44524.186883657407</v>
      </c>
      <c r="B54" s="6"/>
      <c r="C54" s="6" t="s">
        <v>18</v>
      </c>
      <c r="D54" s="289" t="s">
        <v>19</v>
      </c>
      <c r="E54" s="6" t="s">
        <v>20</v>
      </c>
      <c r="F54" s="6" t="s">
        <v>35</v>
      </c>
      <c r="G54" s="6" t="s">
        <v>22</v>
      </c>
      <c r="H54" s="6" t="s">
        <v>36</v>
      </c>
      <c r="I54" s="6" t="s">
        <v>30</v>
      </c>
      <c r="J54" s="6"/>
      <c r="K54" s="6" t="s">
        <v>20</v>
      </c>
      <c r="L54" s="6" t="s">
        <v>20</v>
      </c>
      <c r="M54" s="6" t="s">
        <v>30</v>
      </c>
      <c r="N54" s="6" t="s">
        <v>31</v>
      </c>
      <c r="O54" s="6" t="s">
        <v>92</v>
      </c>
      <c r="P54" s="6" t="s">
        <v>27</v>
      </c>
      <c r="Q54" s="6" t="s">
        <v>93</v>
      </c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</row>
    <row r="55" spans="1:39" ht="13.2">
      <c r="A55" s="5">
        <v>44524.40560337963</v>
      </c>
      <c r="B55" s="6"/>
      <c r="C55" s="6" t="s">
        <v>18</v>
      </c>
      <c r="D55" s="290" t="s">
        <v>19</v>
      </c>
      <c r="E55" s="6" t="s">
        <v>30</v>
      </c>
      <c r="F55" s="6"/>
      <c r="G55" s="6" t="s">
        <v>49</v>
      </c>
      <c r="H55" s="6"/>
      <c r="I55" s="6" t="s">
        <v>30</v>
      </c>
      <c r="J55" s="6"/>
      <c r="K55" s="6" t="s">
        <v>25</v>
      </c>
      <c r="L55" s="6" t="s">
        <v>20</v>
      </c>
      <c r="M55" s="6" t="s">
        <v>30</v>
      </c>
      <c r="N55" s="6" t="s">
        <v>26</v>
      </c>
      <c r="O55" s="6" t="s">
        <v>94</v>
      </c>
      <c r="P55" s="6" t="s">
        <v>34</v>
      </c>
      <c r="Q55" s="6" t="s">
        <v>95</v>
      </c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</row>
    <row r="56" spans="1:39" ht="13.2">
      <c r="A56" s="5">
        <v>44524.409566631948</v>
      </c>
      <c r="B56" s="6"/>
      <c r="C56" s="6" t="s">
        <v>28</v>
      </c>
      <c r="D56" s="289" t="s">
        <v>19</v>
      </c>
      <c r="E56" s="6" t="s">
        <v>20</v>
      </c>
      <c r="F56" s="6" t="s">
        <v>21</v>
      </c>
      <c r="G56" s="6" t="s">
        <v>40</v>
      </c>
      <c r="H56" s="6" t="s">
        <v>33</v>
      </c>
      <c r="I56" s="6" t="s">
        <v>30</v>
      </c>
      <c r="J56" s="6"/>
      <c r="K56" s="6" t="s">
        <v>25</v>
      </c>
      <c r="L56" s="6" t="s">
        <v>30</v>
      </c>
      <c r="M56" s="6"/>
      <c r="N56" s="6" t="s">
        <v>51</v>
      </c>
      <c r="O56" s="6"/>
      <c r="P56" s="6" t="s">
        <v>27</v>
      </c>
      <c r="Q56" s="6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</row>
    <row r="57" spans="1:39" ht="13.2">
      <c r="A57" s="5">
        <v>44524.409697986106</v>
      </c>
      <c r="B57" s="6"/>
      <c r="C57" s="6" t="s">
        <v>28</v>
      </c>
      <c r="D57" s="290" t="s">
        <v>19</v>
      </c>
      <c r="E57" s="6" t="s">
        <v>30</v>
      </c>
      <c r="F57" s="6"/>
      <c r="G57" s="6"/>
      <c r="H57" s="6" t="s">
        <v>23</v>
      </c>
      <c r="I57" s="6" t="s">
        <v>30</v>
      </c>
      <c r="J57" s="6"/>
      <c r="K57" s="6" t="s">
        <v>30</v>
      </c>
      <c r="L57" s="6" t="s">
        <v>30</v>
      </c>
      <c r="M57" s="6"/>
      <c r="N57" s="6" t="s">
        <v>51</v>
      </c>
      <c r="O57" s="6"/>
      <c r="P57" s="6" t="s">
        <v>27</v>
      </c>
      <c r="Q57" s="6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</row>
    <row r="58" spans="1:39" ht="13.2">
      <c r="A58" s="5">
        <v>44524.409771909719</v>
      </c>
      <c r="B58" s="6"/>
      <c r="C58" s="6" t="s">
        <v>18</v>
      </c>
      <c r="D58" s="289" t="s">
        <v>19</v>
      </c>
      <c r="E58" s="6" t="s">
        <v>20</v>
      </c>
      <c r="F58" s="6" t="s">
        <v>35</v>
      </c>
      <c r="G58" s="6" t="s">
        <v>22</v>
      </c>
      <c r="H58" s="6" t="s">
        <v>23</v>
      </c>
      <c r="I58" s="6" t="s">
        <v>30</v>
      </c>
      <c r="J58" s="6"/>
      <c r="K58" s="6" t="s">
        <v>25</v>
      </c>
      <c r="L58" s="6" t="s">
        <v>20</v>
      </c>
      <c r="M58" s="6" t="s">
        <v>20</v>
      </c>
      <c r="N58" s="6" t="s">
        <v>31</v>
      </c>
      <c r="O58" s="6"/>
      <c r="P58" s="6" t="s">
        <v>27</v>
      </c>
      <c r="Q58" s="6" t="s">
        <v>96</v>
      </c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</row>
    <row r="59" spans="1:39" ht="13.2">
      <c r="A59" s="5">
        <v>44524.410203807871</v>
      </c>
      <c r="B59" s="6"/>
      <c r="C59" s="6" t="s">
        <v>18</v>
      </c>
      <c r="D59" s="290" t="s">
        <v>97</v>
      </c>
      <c r="E59" s="6" t="s">
        <v>20</v>
      </c>
      <c r="F59" s="6"/>
      <c r="G59" s="6" t="s">
        <v>49</v>
      </c>
      <c r="H59" s="6" t="s">
        <v>33</v>
      </c>
      <c r="I59" s="6"/>
      <c r="J59" s="6"/>
      <c r="K59" s="6" t="s">
        <v>20</v>
      </c>
      <c r="L59" s="6" t="s">
        <v>20</v>
      </c>
      <c r="M59" s="6" t="s">
        <v>20</v>
      </c>
      <c r="N59" s="6" t="s">
        <v>31</v>
      </c>
      <c r="O59" s="6"/>
      <c r="P59" s="6" t="s">
        <v>34</v>
      </c>
      <c r="Q59" s="6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</row>
    <row r="60" spans="1:39" ht="13.2">
      <c r="A60" s="5">
        <v>44524.410661284724</v>
      </c>
      <c r="B60" s="6"/>
      <c r="C60" s="6" t="s">
        <v>18</v>
      </c>
      <c r="D60" s="289" t="s">
        <v>19</v>
      </c>
      <c r="E60" s="6" t="s">
        <v>20</v>
      </c>
      <c r="F60" s="6" t="s">
        <v>21</v>
      </c>
      <c r="G60" s="6" t="s">
        <v>49</v>
      </c>
      <c r="H60" s="6" t="s">
        <v>33</v>
      </c>
      <c r="I60" s="6" t="s">
        <v>30</v>
      </c>
      <c r="J60" s="6"/>
      <c r="K60" s="6" t="s">
        <v>25</v>
      </c>
      <c r="L60" s="6" t="s">
        <v>20</v>
      </c>
      <c r="M60" s="6" t="s">
        <v>30</v>
      </c>
      <c r="N60" s="6" t="s">
        <v>31</v>
      </c>
      <c r="O60" s="6"/>
      <c r="P60" s="6" t="s">
        <v>27</v>
      </c>
      <c r="Q60" s="6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</row>
    <row r="61" spans="1:39" ht="13.2">
      <c r="A61" s="5">
        <v>44524.412522662038</v>
      </c>
      <c r="B61" s="6"/>
      <c r="C61" s="6" t="s">
        <v>18</v>
      </c>
      <c r="D61" s="290" t="s">
        <v>19</v>
      </c>
      <c r="E61" s="6" t="s">
        <v>20</v>
      </c>
      <c r="F61" s="6" t="s">
        <v>35</v>
      </c>
      <c r="G61" s="6" t="s">
        <v>22</v>
      </c>
      <c r="H61" s="6" t="s">
        <v>33</v>
      </c>
      <c r="I61" s="6" t="s">
        <v>20</v>
      </c>
      <c r="J61" s="6" t="s">
        <v>98</v>
      </c>
      <c r="K61" s="6" t="s">
        <v>25</v>
      </c>
      <c r="L61" s="6" t="s">
        <v>20</v>
      </c>
      <c r="M61" s="6"/>
      <c r="N61" s="6" t="s">
        <v>26</v>
      </c>
      <c r="O61" s="6" t="s">
        <v>99</v>
      </c>
      <c r="P61" s="6" t="s">
        <v>27</v>
      </c>
      <c r="Q61" s="6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</row>
    <row r="62" spans="1:39" ht="13.2">
      <c r="A62" s="5">
        <v>44524.420346898143</v>
      </c>
      <c r="B62" s="6"/>
      <c r="C62" s="6" t="s">
        <v>28</v>
      </c>
      <c r="D62" s="289" t="s">
        <v>19</v>
      </c>
      <c r="E62" s="6" t="s">
        <v>20</v>
      </c>
      <c r="F62" s="6" t="s">
        <v>21</v>
      </c>
      <c r="G62" s="6" t="s">
        <v>22</v>
      </c>
      <c r="H62" s="6" t="s">
        <v>42</v>
      </c>
      <c r="I62" s="6" t="s">
        <v>30</v>
      </c>
      <c r="J62" s="6"/>
      <c r="K62" s="6" t="s">
        <v>20</v>
      </c>
      <c r="L62" s="6" t="s">
        <v>30</v>
      </c>
      <c r="M62" s="6"/>
      <c r="N62" s="6" t="s">
        <v>31</v>
      </c>
      <c r="O62" s="6"/>
      <c r="P62" s="6" t="s">
        <v>52</v>
      </c>
      <c r="Q62" s="6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</row>
    <row r="63" spans="1:39" ht="13.2">
      <c r="A63" s="5">
        <v>44524.422558993057</v>
      </c>
      <c r="B63" s="6"/>
      <c r="C63" s="6" t="s">
        <v>18</v>
      </c>
      <c r="D63" s="290" t="s">
        <v>19</v>
      </c>
      <c r="E63" s="6" t="s">
        <v>20</v>
      </c>
      <c r="F63" s="6" t="s">
        <v>21</v>
      </c>
      <c r="G63" s="6" t="s">
        <v>40</v>
      </c>
      <c r="H63" s="6" t="s">
        <v>33</v>
      </c>
      <c r="I63" s="6" t="s">
        <v>30</v>
      </c>
      <c r="J63" s="6"/>
      <c r="K63" s="6" t="s">
        <v>25</v>
      </c>
      <c r="L63" s="6" t="s">
        <v>20</v>
      </c>
      <c r="M63" s="6" t="s">
        <v>20</v>
      </c>
      <c r="N63" s="6" t="s">
        <v>31</v>
      </c>
      <c r="O63" s="6"/>
      <c r="P63" s="6" t="s">
        <v>27</v>
      </c>
      <c r="Q63" s="6" t="s">
        <v>100</v>
      </c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</row>
    <row r="64" spans="1:39" ht="13.2">
      <c r="A64" s="5">
        <v>44524.424762118055</v>
      </c>
      <c r="B64" s="6"/>
      <c r="C64" s="6" t="s">
        <v>18</v>
      </c>
      <c r="D64" s="289" t="s">
        <v>48</v>
      </c>
      <c r="E64" s="6" t="s">
        <v>20</v>
      </c>
      <c r="F64" s="6" t="s">
        <v>21</v>
      </c>
      <c r="G64" s="6" t="s">
        <v>40</v>
      </c>
      <c r="H64" s="6" t="s">
        <v>33</v>
      </c>
      <c r="I64" s="6" t="s">
        <v>30</v>
      </c>
      <c r="J64" s="6"/>
      <c r="K64" s="6" t="s">
        <v>25</v>
      </c>
      <c r="L64" s="6" t="s">
        <v>30</v>
      </c>
      <c r="M64" s="6"/>
      <c r="N64" s="6" t="s">
        <v>31</v>
      </c>
      <c r="O64" s="6"/>
      <c r="P64" s="6" t="s">
        <v>27</v>
      </c>
      <c r="Q64" s="6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</row>
    <row r="65" spans="1:39" ht="13.2">
      <c r="A65" s="5">
        <v>44524.426952488429</v>
      </c>
      <c r="B65" s="6"/>
      <c r="C65" s="6" t="s">
        <v>28</v>
      </c>
      <c r="D65" s="290" t="s">
        <v>19</v>
      </c>
      <c r="E65" s="6" t="s">
        <v>20</v>
      </c>
      <c r="F65" s="6" t="s">
        <v>21</v>
      </c>
      <c r="G65" s="6" t="s">
        <v>49</v>
      </c>
      <c r="H65" s="6" t="s">
        <v>33</v>
      </c>
      <c r="I65" s="6" t="s">
        <v>30</v>
      </c>
      <c r="J65" s="6"/>
      <c r="K65" s="6" t="s">
        <v>30</v>
      </c>
      <c r="L65" s="6" t="s">
        <v>30</v>
      </c>
      <c r="M65" s="6"/>
      <c r="N65" s="6" t="s">
        <v>51</v>
      </c>
      <c r="O65" s="6"/>
      <c r="P65" s="6" t="s">
        <v>27</v>
      </c>
      <c r="Q65" s="6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</row>
    <row r="66" spans="1:39" ht="13.2">
      <c r="A66" s="5">
        <v>44524.428760254625</v>
      </c>
      <c r="B66" s="6"/>
      <c r="C66" s="6" t="s">
        <v>18</v>
      </c>
      <c r="D66" s="289" t="s">
        <v>19</v>
      </c>
      <c r="E66" s="6" t="s">
        <v>20</v>
      </c>
      <c r="F66" s="6" t="s">
        <v>21</v>
      </c>
      <c r="G66" s="6" t="s">
        <v>49</v>
      </c>
      <c r="H66" s="6" t="s">
        <v>33</v>
      </c>
      <c r="I66" s="6" t="s">
        <v>30</v>
      </c>
      <c r="J66" s="6"/>
      <c r="K66" s="6" t="s">
        <v>30</v>
      </c>
      <c r="L66" s="6" t="s">
        <v>20</v>
      </c>
      <c r="M66" s="6" t="s">
        <v>20</v>
      </c>
      <c r="N66" s="6" t="s">
        <v>31</v>
      </c>
      <c r="O66" s="6"/>
      <c r="P66" s="6" t="s">
        <v>27</v>
      </c>
      <c r="Q66" s="6" t="s">
        <v>101</v>
      </c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</row>
    <row r="67" spans="1:39" ht="13.2">
      <c r="A67" s="5">
        <v>44524.428820127316</v>
      </c>
      <c r="B67" s="6"/>
      <c r="C67" s="6" t="s">
        <v>18</v>
      </c>
      <c r="D67" s="290" t="s">
        <v>19</v>
      </c>
      <c r="E67" s="6" t="s">
        <v>20</v>
      </c>
      <c r="F67" s="6" t="s">
        <v>21</v>
      </c>
      <c r="G67" s="6" t="s">
        <v>22</v>
      </c>
      <c r="H67" s="6" t="s">
        <v>42</v>
      </c>
      <c r="I67" s="6" t="s">
        <v>20</v>
      </c>
      <c r="J67" s="6"/>
      <c r="K67" s="6" t="s">
        <v>25</v>
      </c>
      <c r="L67" s="6" t="s">
        <v>20</v>
      </c>
      <c r="M67" s="6" t="s">
        <v>20</v>
      </c>
      <c r="N67" s="6" t="s">
        <v>31</v>
      </c>
      <c r="O67" s="6"/>
      <c r="P67" s="6" t="s">
        <v>27</v>
      </c>
      <c r="Q67" s="6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</row>
    <row r="68" spans="1:39" ht="13.2">
      <c r="A68" s="5">
        <v>44524.429203263891</v>
      </c>
      <c r="B68" s="6"/>
      <c r="C68" s="6" t="s">
        <v>18</v>
      </c>
      <c r="D68" s="289" t="s">
        <v>19</v>
      </c>
      <c r="E68" s="6" t="s">
        <v>30</v>
      </c>
      <c r="F68" s="6"/>
      <c r="G68" s="6" t="s">
        <v>49</v>
      </c>
      <c r="H68" s="6" t="s">
        <v>33</v>
      </c>
      <c r="I68" s="6" t="s">
        <v>30</v>
      </c>
      <c r="J68" s="6"/>
      <c r="K68" s="6" t="s">
        <v>25</v>
      </c>
      <c r="L68" s="6" t="s">
        <v>30</v>
      </c>
      <c r="M68" s="6"/>
      <c r="N68" s="6" t="s">
        <v>31</v>
      </c>
      <c r="O68" s="6"/>
      <c r="P68" s="6" t="s">
        <v>34</v>
      </c>
      <c r="Q68" s="6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3.2">
      <c r="A69" s="5">
        <v>44524.431441504625</v>
      </c>
      <c r="B69" s="6"/>
      <c r="C69" s="6" t="s">
        <v>18</v>
      </c>
      <c r="D69" s="290" t="s">
        <v>19</v>
      </c>
      <c r="E69" s="6" t="s">
        <v>20</v>
      </c>
      <c r="F69" s="6" t="s">
        <v>35</v>
      </c>
      <c r="G69" s="6" t="s">
        <v>49</v>
      </c>
      <c r="H69" s="6" t="s">
        <v>33</v>
      </c>
      <c r="I69" s="6" t="s">
        <v>30</v>
      </c>
      <c r="J69" s="6"/>
      <c r="K69" s="6" t="s">
        <v>20</v>
      </c>
      <c r="L69" s="6" t="s">
        <v>20</v>
      </c>
      <c r="M69" s="6" t="s">
        <v>20</v>
      </c>
      <c r="N69" s="6" t="s">
        <v>31</v>
      </c>
      <c r="O69" s="6"/>
      <c r="P69" s="6" t="s">
        <v>27</v>
      </c>
      <c r="Q69" s="6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</row>
    <row r="70" spans="1:39" ht="13.2">
      <c r="A70" s="5">
        <v>44524.441222488429</v>
      </c>
      <c r="B70" s="6"/>
      <c r="C70" s="6" t="s">
        <v>18</v>
      </c>
      <c r="D70" s="289" t="s">
        <v>19</v>
      </c>
      <c r="E70" s="6" t="s">
        <v>20</v>
      </c>
      <c r="F70" s="6" t="s">
        <v>21</v>
      </c>
      <c r="G70" s="6" t="s">
        <v>40</v>
      </c>
      <c r="H70" s="6" t="s">
        <v>36</v>
      </c>
      <c r="I70" s="6" t="s">
        <v>20</v>
      </c>
      <c r="J70" s="6" t="s">
        <v>102</v>
      </c>
      <c r="K70" s="6" t="s">
        <v>20</v>
      </c>
      <c r="L70" s="6" t="s">
        <v>20</v>
      </c>
      <c r="M70" s="6" t="s">
        <v>30</v>
      </c>
      <c r="N70" s="6" t="s">
        <v>26</v>
      </c>
      <c r="O70" s="7" t="s">
        <v>103</v>
      </c>
      <c r="P70" s="6" t="s">
        <v>34</v>
      </c>
      <c r="Q70" s="6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</row>
    <row r="71" spans="1:39" ht="13.2">
      <c r="A71" s="5">
        <v>44524.458286875</v>
      </c>
      <c r="B71" s="6"/>
      <c r="C71" s="6" t="s">
        <v>18</v>
      </c>
      <c r="D71" s="290" t="s">
        <v>97</v>
      </c>
      <c r="E71" s="6" t="s">
        <v>20</v>
      </c>
      <c r="F71" s="6" t="s">
        <v>35</v>
      </c>
      <c r="G71" s="6" t="s">
        <v>22</v>
      </c>
      <c r="H71" s="6" t="s">
        <v>33</v>
      </c>
      <c r="I71" s="6" t="s">
        <v>20</v>
      </c>
      <c r="J71" s="6" t="s">
        <v>104</v>
      </c>
      <c r="K71" s="6" t="s">
        <v>20</v>
      </c>
      <c r="L71" s="6" t="s">
        <v>30</v>
      </c>
      <c r="M71" s="6" t="s">
        <v>30</v>
      </c>
      <c r="N71" s="6" t="s">
        <v>26</v>
      </c>
      <c r="O71" s="6" t="s">
        <v>105</v>
      </c>
      <c r="P71" s="6" t="s">
        <v>52</v>
      </c>
      <c r="Q71" s="6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</row>
    <row r="72" spans="1:39" ht="13.2">
      <c r="A72" s="5">
        <v>44524.481558182873</v>
      </c>
      <c r="B72" s="6"/>
      <c r="C72" s="6" t="s">
        <v>18</v>
      </c>
      <c r="D72" s="289" t="s">
        <v>19</v>
      </c>
      <c r="E72" s="6" t="s">
        <v>20</v>
      </c>
      <c r="F72" s="6" t="s">
        <v>21</v>
      </c>
      <c r="G72" s="6" t="s">
        <v>40</v>
      </c>
      <c r="H72" s="6" t="s">
        <v>33</v>
      </c>
      <c r="I72" s="6" t="s">
        <v>20</v>
      </c>
      <c r="J72" s="6" t="s">
        <v>106</v>
      </c>
      <c r="K72" s="6" t="s">
        <v>25</v>
      </c>
      <c r="L72" s="6" t="s">
        <v>20</v>
      </c>
      <c r="M72" s="6" t="s">
        <v>20</v>
      </c>
      <c r="N72" s="6" t="s">
        <v>31</v>
      </c>
      <c r="O72" s="6"/>
      <c r="P72" s="6" t="s">
        <v>27</v>
      </c>
      <c r="Q72" s="6" t="s">
        <v>107</v>
      </c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</row>
    <row r="73" spans="1:39" ht="13.2">
      <c r="A73" s="5">
        <v>44524.485157233794</v>
      </c>
      <c r="B73" s="6"/>
      <c r="C73" s="6" t="s">
        <v>18</v>
      </c>
      <c r="D73" s="290" t="s">
        <v>19</v>
      </c>
      <c r="E73" s="6" t="s">
        <v>20</v>
      </c>
      <c r="F73" s="6" t="s">
        <v>21</v>
      </c>
      <c r="G73" s="6" t="s">
        <v>22</v>
      </c>
      <c r="H73" s="6" t="s">
        <v>33</v>
      </c>
      <c r="I73" s="6" t="s">
        <v>30</v>
      </c>
      <c r="J73" s="6"/>
      <c r="K73" s="6" t="s">
        <v>25</v>
      </c>
      <c r="L73" s="6" t="s">
        <v>20</v>
      </c>
      <c r="M73" s="6"/>
      <c r="N73" s="6" t="s">
        <v>31</v>
      </c>
      <c r="O73" s="6"/>
      <c r="P73" s="6" t="s">
        <v>27</v>
      </c>
      <c r="Q73" s="6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13.2">
      <c r="A74" s="5">
        <v>44524.486151319448</v>
      </c>
      <c r="B74" s="6"/>
      <c r="C74" s="6" t="s">
        <v>18</v>
      </c>
      <c r="D74" s="289" t="s">
        <v>19</v>
      </c>
      <c r="E74" s="6" t="s">
        <v>20</v>
      </c>
      <c r="F74" s="6" t="s">
        <v>21</v>
      </c>
      <c r="G74" s="6" t="s">
        <v>49</v>
      </c>
      <c r="H74" s="6" t="s">
        <v>42</v>
      </c>
      <c r="I74" s="6" t="s">
        <v>30</v>
      </c>
      <c r="J74" s="6"/>
      <c r="K74" s="6" t="s">
        <v>25</v>
      </c>
      <c r="L74" s="6" t="s">
        <v>30</v>
      </c>
      <c r="M74" s="6"/>
      <c r="N74" s="6" t="s">
        <v>31</v>
      </c>
      <c r="O74" s="6"/>
      <c r="P74" s="6" t="s">
        <v>27</v>
      </c>
      <c r="Q74" s="6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</row>
    <row r="75" spans="1:39" ht="13.2">
      <c r="A75" s="5">
        <v>44524.488004537037</v>
      </c>
      <c r="B75" s="6"/>
      <c r="C75" s="6" t="s">
        <v>18</v>
      </c>
      <c r="D75" s="290" t="s">
        <v>19</v>
      </c>
      <c r="E75" s="6" t="s">
        <v>20</v>
      </c>
      <c r="F75" s="6" t="s">
        <v>35</v>
      </c>
      <c r="G75" s="6" t="s">
        <v>40</v>
      </c>
      <c r="H75" s="6" t="s">
        <v>33</v>
      </c>
      <c r="I75" s="6" t="s">
        <v>20</v>
      </c>
      <c r="J75" s="6"/>
      <c r="K75" s="6" t="s">
        <v>20</v>
      </c>
      <c r="L75" s="6" t="s">
        <v>20</v>
      </c>
      <c r="M75" s="6" t="s">
        <v>30</v>
      </c>
      <c r="N75" s="6" t="s">
        <v>26</v>
      </c>
      <c r="O75" s="6"/>
      <c r="P75" s="6" t="s">
        <v>27</v>
      </c>
      <c r="Q75" s="6"/>
      <c r="R75" s="1"/>
      <c r="S75" s="1"/>
      <c r="T75" s="1"/>
      <c r="U75" s="1"/>
      <c r="V75" s="1"/>
      <c r="W75" s="1"/>
      <c r="X75" s="1"/>
      <c r="Y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</row>
    <row r="76" spans="1:39" ht="13.2">
      <c r="A76" s="5">
        <v>44524.488519189814</v>
      </c>
      <c r="B76" s="6"/>
      <c r="C76" s="6" t="s">
        <v>18</v>
      </c>
      <c r="D76" s="289" t="s">
        <v>19</v>
      </c>
      <c r="E76" s="6" t="s">
        <v>30</v>
      </c>
      <c r="F76" s="6" t="s">
        <v>21</v>
      </c>
      <c r="G76" s="6" t="s">
        <v>49</v>
      </c>
      <c r="H76" s="6" t="s">
        <v>33</v>
      </c>
      <c r="I76" s="6" t="s">
        <v>20</v>
      </c>
      <c r="J76" s="6" t="s">
        <v>108</v>
      </c>
      <c r="K76" s="6" t="s">
        <v>25</v>
      </c>
      <c r="L76" s="6" t="s">
        <v>20</v>
      </c>
      <c r="M76" s="6" t="s">
        <v>20</v>
      </c>
      <c r="N76" s="6" t="s">
        <v>31</v>
      </c>
      <c r="O76" s="6"/>
      <c r="P76" s="6" t="s">
        <v>52</v>
      </c>
      <c r="Q76" s="6"/>
      <c r="R76" s="1"/>
      <c r="S76" s="1"/>
      <c r="T76" s="1"/>
      <c r="U76" s="1"/>
      <c r="V76" s="1"/>
      <c r="W76" s="1"/>
      <c r="X76" s="1"/>
      <c r="Y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</row>
    <row r="77" spans="1:39" ht="13.2">
      <c r="A77" s="5">
        <v>44524.502172939814</v>
      </c>
      <c r="B77" s="6"/>
      <c r="C77" s="6" t="s">
        <v>18</v>
      </c>
      <c r="D77" s="290" t="s">
        <v>19</v>
      </c>
      <c r="E77" s="6" t="s">
        <v>30</v>
      </c>
      <c r="F77" s="6" t="s">
        <v>21</v>
      </c>
      <c r="G77" s="6" t="s">
        <v>49</v>
      </c>
      <c r="H77" s="6" t="s">
        <v>33</v>
      </c>
      <c r="I77" s="6" t="s">
        <v>20</v>
      </c>
      <c r="J77" s="6" t="s">
        <v>109</v>
      </c>
      <c r="K77" s="6" t="s">
        <v>30</v>
      </c>
      <c r="L77" s="6" t="s">
        <v>30</v>
      </c>
      <c r="M77" s="6"/>
      <c r="N77" s="6" t="s">
        <v>31</v>
      </c>
      <c r="O77" s="6"/>
      <c r="P77" s="6" t="s">
        <v>27</v>
      </c>
      <c r="Q77" s="6"/>
      <c r="R77" s="1"/>
      <c r="S77" s="1"/>
      <c r="T77" s="1"/>
      <c r="U77" s="1"/>
      <c r="V77" s="1"/>
      <c r="W77" s="1"/>
      <c r="X77" s="1"/>
      <c r="Y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</row>
    <row r="78" spans="1:39" ht="13.2">
      <c r="A78" s="5">
        <v>44524.505792013893</v>
      </c>
      <c r="B78" s="6"/>
      <c r="C78" s="6" t="s">
        <v>28</v>
      </c>
      <c r="D78" s="289" t="s">
        <v>62</v>
      </c>
      <c r="E78" s="6" t="s">
        <v>30</v>
      </c>
      <c r="F78" s="6" t="s">
        <v>21</v>
      </c>
      <c r="G78" s="6" t="s">
        <v>49</v>
      </c>
      <c r="H78" s="6" t="s">
        <v>42</v>
      </c>
      <c r="I78" s="6" t="s">
        <v>30</v>
      </c>
      <c r="J78" s="6"/>
      <c r="K78" s="6" t="s">
        <v>20</v>
      </c>
      <c r="L78" s="6" t="s">
        <v>30</v>
      </c>
      <c r="M78" s="6"/>
      <c r="N78" s="6" t="s">
        <v>31</v>
      </c>
      <c r="O78" s="6"/>
      <c r="P78" s="6" t="s">
        <v>27</v>
      </c>
      <c r="Q78" s="6"/>
      <c r="R78" s="1"/>
      <c r="S78" s="1"/>
      <c r="T78" s="1"/>
      <c r="U78" s="1"/>
      <c r="V78" s="1"/>
      <c r="W78" s="1"/>
      <c r="X78" s="1"/>
      <c r="Y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</row>
    <row r="79" spans="1:39" ht="13.2">
      <c r="A79" s="5">
        <v>44524.505814155091</v>
      </c>
      <c r="B79" s="6"/>
      <c r="C79" s="6" t="s">
        <v>18</v>
      </c>
      <c r="D79" s="290" t="s">
        <v>19</v>
      </c>
      <c r="E79" s="6" t="s">
        <v>20</v>
      </c>
      <c r="F79" s="6" t="s">
        <v>35</v>
      </c>
      <c r="G79" s="6" t="s">
        <v>40</v>
      </c>
      <c r="H79" s="6" t="s">
        <v>42</v>
      </c>
      <c r="I79" s="6" t="s">
        <v>20</v>
      </c>
      <c r="J79" s="6" t="s">
        <v>110</v>
      </c>
      <c r="K79" s="6" t="s">
        <v>25</v>
      </c>
      <c r="L79" s="6" t="s">
        <v>20</v>
      </c>
      <c r="M79" s="6" t="s">
        <v>20</v>
      </c>
      <c r="N79" s="6" t="s">
        <v>31</v>
      </c>
      <c r="O79" s="6"/>
      <c r="P79" s="6" t="s">
        <v>27</v>
      </c>
      <c r="Q79" s="6"/>
      <c r="R79" s="1"/>
      <c r="S79" s="1"/>
      <c r="T79" s="1"/>
      <c r="U79" s="1"/>
      <c r="V79" s="1"/>
      <c r="W79" s="1"/>
      <c r="X79" s="1"/>
      <c r="Y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</row>
    <row r="80" spans="1:39" ht="13.2">
      <c r="A80" s="5">
        <v>44524.505995127314</v>
      </c>
      <c r="B80" s="6"/>
      <c r="C80" s="6" t="s">
        <v>18</v>
      </c>
      <c r="D80" s="289" t="s">
        <v>19</v>
      </c>
      <c r="E80" s="6" t="s">
        <v>20</v>
      </c>
      <c r="F80" s="6" t="s">
        <v>21</v>
      </c>
      <c r="G80" s="6" t="s">
        <v>49</v>
      </c>
      <c r="H80" s="6" t="s">
        <v>42</v>
      </c>
      <c r="I80" s="6" t="s">
        <v>20</v>
      </c>
      <c r="J80" s="6" t="s">
        <v>111</v>
      </c>
      <c r="K80" s="6" t="s">
        <v>20</v>
      </c>
      <c r="L80" s="6" t="s">
        <v>30</v>
      </c>
      <c r="M80" s="6" t="s">
        <v>30</v>
      </c>
      <c r="N80" s="6" t="s">
        <v>31</v>
      </c>
      <c r="O80" s="6"/>
      <c r="P80" s="6" t="s">
        <v>34</v>
      </c>
      <c r="Q80" s="6"/>
      <c r="R80" s="1"/>
      <c r="S80" s="1"/>
      <c r="T80" s="1"/>
      <c r="U80" s="1"/>
      <c r="V80" s="1"/>
      <c r="W80" s="1"/>
      <c r="X80" s="1"/>
      <c r="Y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</row>
    <row r="81" spans="1:39" ht="13.2">
      <c r="A81" s="5">
        <v>44524.506026620365</v>
      </c>
      <c r="B81" s="6"/>
      <c r="C81" s="6" t="s">
        <v>18</v>
      </c>
      <c r="D81" s="290" t="s">
        <v>48</v>
      </c>
      <c r="E81" s="6" t="s">
        <v>20</v>
      </c>
      <c r="F81" s="6" t="s">
        <v>21</v>
      </c>
      <c r="G81" s="6" t="s">
        <v>40</v>
      </c>
      <c r="H81" s="6" t="s">
        <v>42</v>
      </c>
      <c r="I81" s="6" t="s">
        <v>20</v>
      </c>
      <c r="J81" s="6" t="s">
        <v>112</v>
      </c>
      <c r="K81" s="6" t="s">
        <v>20</v>
      </c>
      <c r="L81" s="6" t="s">
        <v>20</v>
      </c>
      <c r="M81" s="6" t="s">
        <v>20</v>
      </c>
      <c r="N81" s="6" t="s">
        <v>31</v>
      </c>
      <c r="O81" s="6"/>
      <c r="P81" s="6" t="s">
        <v>27</v>
      </c>
      <c r="Q81" s="6"/>
      <c r="R81" s="1"/>
      <c r="S81" s="1"/>
      <c r="T81" s="1"/>
      <c r="U81" s="1"/>
      <c r="V81" s="1"/>
      <c r="W81" s="1"/>
      <c r="X81" s="1"/>
      <c r="Y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</row>
    <row r="82" spans="1:39" ht="13.2">
      <c r="A82" s="5">
        <v>44524.507336527779</v>
      </c>
      <c r="B82" s="6"/>
      <c r="C82" s="6" t="s">
        <v>18</v>
      </c>
      <c r="D82" s="289" t="s">
        <v>19</v>
      </c>
      <c r="E82" s="6" t="s">
        <v>20</v>
      </c>
      <c r="F82" s="6" t="s">
        <v>21</v>
      </c>
      <c r="G82" s="6" t="s">
        <v>40</v>
      </c>
      <c r="H82" s="6" t="s">
        <v>33</v>
      </c>
      <c r="I82" s="6" t="s">
        <v>30</v>
      </c>
      <c r="J82" s="6"/>
      <c r="K82" s="6" t="s">
        <v>20</v>
      </c>
      <c r="L82" s="6" t="s">
        <v>30</v>
      </c>
      <c r="M82" s="6"/>
      <c r="N82" s="6" t="s">
        <v>31</v>
      </c>
      <c r="O82" s="6"/>
      <c r="P82" s="6" t="s">
        <v>34</v>
      </c>
      <c r="Q82" s="6"/>
      <c r="R82" s="1"/>
      <c r="S82" s="1"/>
      <c r="T82" s="1"/>
      <c r="U82" s="1"/>
      <c r="V82" s="1"/>
      <c r="W82" s="1"/>
      <c r="X82" s="1"/>
      <c r="Y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</row>
    <row r="83" spans="1:39" ht="13.2">
      <c r="A83" s="5">
        <v>44524.508171921298</v>
      </c>
      <c r="B83" s="6"/>
      <c r="C83" s="6" t="s">
        <v>28</v>
      </c>
      <c r="D83" s="290" t="s">
        <v>19</v>
      </c>
      <c r="E83" s="6" t="s">
        <v>30</v>
      </c>
      <c r="F83" s="6"/>
      <c r="G83" s="6" t="s">
        <v>49</v>
      </c>
      <c r="H83" s="6" t="s">
        <v>33</v>
      </c>
      <c r="I83" s="6" t="s">
        <v>30</v>
      </c>
      <c r="J83" s="6"/>
      <c r="K83" s="6" t="s">
        <v>30</v>
      </c>
      <c r="L83" s="6" t="s">
        <v>30</v>
      </c>
      <c r="M83" s="6" t="s">
        <v>30</v>
      </c>
      <c r="N83" s="6" t="s">
        <v>31</v>
      </c>
      <c r="O83" s="6"/>
      <c r="P83" s="6" t="s">
        <v>27</v>
      </c>
      <c r="Q83" s="6" t="s">
        <v>113</v>
      </c>
      <c r="R83" s="1"/>
      <c r="S83" s="1"/>
      <c r="T83" s="1"/>
      <c r="U83" s="1"/>
      <c r="V83" s="1"/>
      <c r="W83" s="1"/>
      <c r="X83" s="1"/>
      <c r="Y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</row>
    <row r="84" spans="1:39" ht="13.2">
      <c r="A84" s="5">
        <v>44524.508887175922</v>
      </c>
      <c r="B84" s="6"/>
      <c r="C84" s="6" t="s">
        <v>18</v>
      </c>
      <c r="D84" s="289" t="s">
        <v>19</v>
      </c>
      <c r="E84" s="6" t="s">
        <v>20</v>
      </c>
      <c r="F84" s="6" t="s">
        <v>21</v>
      </c>
      <c r="G84" s="6" t="s">
        <v>22</v>
      </c>
      <c r="H84" s="6" t="s">
        <v>33</v>
      </c>
      <c r="I84" s="6" t="s">
        <v>20</v>
      </c>
      <c r="J84" s="6" t="s">
        <v>114</v>
      </c>
      <c r="K84" s="6" t="s">
        <v>20</v>
      </c>
      <c r="L84" s="6" t="s">
        <v>20</v>
      </c>
      <c r="M84" s="6" t="s">
        <v>20</v>
      </c>
      <c r="N84" s="6" t="s">
        <v>31</v>
      </c>
      <c r="O84" s="6"/>
      <c r="P84" s="6" t="s">
        <v>27</v>
      </c>
      <c r="Q84" s="6" t="s">
        <v>115</v>
      </c>
      <c r="R84" s="1"/>
      <c r="S84" s="1"/>
      <c r="T84" s="1"/>
      <c r="U84" s="1"/>
      <c r="V84" s="1"/>
      <c r="W84" s="1"/>
      <c r="X84" s="1"/>
      <c r="Y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</row>
    <row r="85" spans="1:39" ht="13.2">
      <c r="A85" s="5">
        <v>44524.510749456022</v>
      </c>
      <c r="B85" s="6"/>
      <c r="C85" s="6" t="s">
        <v>18</v>
      </c>
      <c r="D85" s="290" t="s">
        <v>19</v>
      </c>
      <c r="E85" s="6" t="s">
        <v>20</v>
      </c>
      <c r="F85" s="6" t="s">
        <v>21</v>
      </c>
      <c r="G85" s="6" t="s">
        <v>22</v>
      </c>
      <c r="H85" s="6" t="s">
        <v>23</v>
      </c>
      <c r="I85" s="6" t="s">
        <v>20</v>
      </c>
      <c r="J85" s="6" t="s">
        <v>116</v>
      </c>
      <c r="K85" s="6" t="s">
        <v>25</v>
      </c>
      <c r="L85" s="6" t="s">
        <v>20</v>
      </c>
      <c r="M85" s="6" t="s">
        <v>20</v>
      </c>
      <c r="N85" s="6" t="s">
        <v>31</v>
      </c>
      <c r="O85" s="6"/>
      <c r="P85" s="6" t="s">
        <v>27</v>
      </c>
      <c r="Q85" s="6"/>
      <c r="R85" s="1"/>
      <c r="S85" s="1"/>
      <c r="T85" s="1"/>
      <c r="U85" s="1"/>
      <c r="V85" s="1"/>
      <c r="W85" s="1"/>
      <c r="X85" s="1"/>
      <c r="Y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</row>
    <row r="86" spans="1:39" ht="13.2">
      <c r="A86" s="5">
        <v>44523.645041504627</v>
      </c>
      <c r="B86" s="6"/>
      <c r="C86" s="6" t="s">
        <v>79</v>
      </c>
      <c r="D86" s="289" t="s">
        <v>19</v>
      </c>
      <c r="E86" s="6" t="s">
        <v>20</v>
      </c>
      <c r="F86" s="6" t="s">
        <v>32</v>
      </c>
      <c r="G86" s="6" t="s">
        <v>22</v>
      </c>
      <c r="H86" s="6" t="s">
        <v>36</v>
      </c>
      <c r="I86" s="6" t="s">
        <v>30</v>
      </c>
      <c r="J86" s="6"/>
      <c r="K86" s="6" t="s">
        <v>25</v>
      </c>
      <c r="L86" s="6" t="s">
        <v>30</v>
      </c>
      <c r="M86" s="6"/>
      <c r="N86" s="6" t="s">
        <v>31</v>
      </c>
      <c r="O86" s="6"/>
      <c r="P86" s="6" t="s">
        <v>27</v>
      </c>
      <c r="Q86" s="6" t="s">
        <v>117</v>
      </c>
      <c r="R86" s="1"/>
      <c r="S86" s="1"/>
      <c r="T86" s="1"/>
      <c r="U86" s="1"/>
      <c r="V86" s="1"/>
      <c r="W86" s="1"/>
      <c r="X86" s="1"/>
      <c r="Y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</row>
    <row r="87" spans="1:39" ht="13.2">
      <c r="A87" s="5">
        <v>44524.516900127317</v>
      </c>
      <c r="B87" s="6"/>
      <c r="C87" s="6" t="s">
        <v>18</v>
      </c>
      <c r="D87" s="290" t="s">
        <v>19</v>
      </c>
      <c r="E87" s="6" t="s">
        <v>20</v>
      </c>
      <c r="F87" s="6" t="s">
        <v>21</v>
      </c>
      <c r="G87" s="6" t="s">
        <v>22</v>
      </c>
      <c r="H87" s="6" t="s">
        <v>33</v>
      </c>
      <c r="I87" s="6" t="s">
        <v>20</v>
      </c>
      <c r="J87" s="6" t="s">
        <v>118</v>
      </c>
      <c r="K87" s="6" t="s">
        <v>25</v>
      </c>
      <c r="L87" s="6" t="s">
        <v>20</v>
      </c>
      <c r="M87" s="6" t="s">
        <v>20</v>
      </c>
      <c r="N87" s="6" t="s">
        <v>26</v>
      </c>
      <c r="O87" s="6" t="s">
        <v>119</v>
      </c>
      <c r="P87" s="6" t="s">
        <v>27</v>
      </c>
      <c r="Q87" s="6" t="s">
        <v>120</v>
      </c>
      <c r="R87" s="1"/>
      <c r="S87" s="1"/>
      <c r="T87" s="1"/>
      <c r="U87" s="1"/>
      <c r="V87" s="1"/>
      <c r="W87" s="1"/>
      <c r="X87" s="1"/>
      <c r="Y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</row>
    <row r="88" spans="1:39" ht="13.2">
      <c r="A88" s="5">
        <v>44524.518089745368</v>
      </c>
      <c r="B88" s="6"/>
      <c r="C88" s="6" t="s">
        <v>18</v>
      </c>
      <c r="D88" s="289" t="s">
        <v>19</v>
      </c>
      <c r="E88" s="6" t="s">
        <v>20</v>
      </c>
      <c r="F88" s="6" t="s">
        <v>21</v>
      </c>
      <c r="G88" s="6" t="s">
        <v>49</v>
      </c>
      <c r="H88" s="6" t="s">
        <v>33</v>
      </c>
      <c r="I88" s="6" t="s">
        <v>20</v>
      </c>
      <c r="J88" s="6"/>
      <c r="K88" s="6" t="s">
        <v>25</v>
      </c>
      <c r="L88" s="6" t="s">
        <v>20</v>
      </c>
      <c r="M88" s="6" t="s">
        <v>20</v>
      </c>
      <c r="N88" s="6" t="s">
        <v>31</v>
      </c>
      <c r="O88" s="6"/>
      <c r="P88" s="6" t="s">
        <v>27</v>
      </c>
      <c r="Q88" s="6"/>
      <c r="R88" s="1"/>
      <c r="S88" s="1"/>
      <c r="T88" s="1"/>
      <c r="U88" s="1"/>
      <c r="V88" s="1"/>
      <c r="W88" s="1"/>
      <c r="X88" s="1"/>
      <c r="Y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</row>
    <row r="89" spans="1:39" ht="13.2">
      <c r="A89" s="5">
        <v>44524.538031030097</v>
      </c>
      <c r="B89" s="6"/>
      <c r="C89" s="6" t="s">
        <v>28</v>
      </c>
      <c r="D89" s="290" t="s">
        <v>19</v>
      </c>
      <c r="E89" s="6" t="s">
        <v>30</v>
      </c>
      <c r="F89" s="6" t="s">
        <v>35</v>
      </c>
      <c r="G89" s="6" t="s">
        <v>49</v>
      </c>
      <c r="H89" s="6" t="s">
        <v>33</v>
      </c>
      <c r="I89" s="6" t="s">
        <v>30</v>
      </c>
      <c r="J89" s="6"/>
      <c r="K89" s="6" t="s">
        <v>25</v>
      </c>
      <c r="L89" s="6" t="s">
        <v>30</v>
      </c>
      <c r="M89" s="6"/>
      <c r="N89" s="6" t="s">
        <v>31</v>
      </c>
      <c r="O89" s="6"/>
      <c r="P89" s="6" t="s">
        <v>27</v>
      </c>
      <c r="Q89" s="6"/>
      <c r="R89" s="1"/>
      <c r="S89" s="1"/>
      <c r="T89" s="1"/>
      <c r="U89" s="1"/>
      <c r="V89" s="1"/>
      <c r="W89" s="1"/>
      <c r="X89" s="1"/>
      <c r="Y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</row>
    <row r="90" spans="1:39" ht="13.2">
      <c r="A90" s="5">
        <v>44524.544317152773</v>
      </c>
      <c r="B90" s="6"/>
      <c r="C90" s="6" t="s">
        <v>18</v>
      </c>
      <c r="D90" s="289" t="s">
        <v>19</v>
      </c>
      <c r="E90" s="6" t="s">
        <v>20</v>
      </c>
      <c r="F90" s="6" t="s">
        <v>89</v>
      </c>
      <c r="G90" s="6" t="s">
        <v>40</v>
      </c>
      <c r="H90" s="6" t="s">
        <v>33</v>
      </c>
      <c r="I90" s="6" t="s">
        <v>30</v>
      </c>
      <c r="J90" s="6"/>
      <c r="K90" s="6" t="s">
        <v>30</v>
      </c>
      <c r="L90" s="6" t="s">
        <v>20</v>
      </c>
      <c r="M90" s="6" t="s">
        <v>20</v>
      </c>
      <c r="N90" s="6" t="s">
        <v>31</v>
      </c>
      <c r="O90" s="6"/>
      <c r="P90" s="6" t="s">
        <v>27</v>
      </c>
      <c r="Q90" s="6"/>
      <c r="R90" s="1"/>
      <c r="S90" s="1"/>
      <c r="T90" s="1"/>
      <c r="U90" s="1"/>
      <c r="V90" s="1"/>
      <c r="W90" s="1"/>
      <c r="X90" s="1"/>
      <c r="Y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</row>
    <row r="91" spans="1:39" ht="13.2">
      <c r="A91" s="5">
        <v>44524.54752521991</v>
      </c>
      <c r="B91" s="6"/>
      <c r="C91" s="6" t="s">
        <v>18</v>
      </c>
      <c r="D91" s="290" t="s">
        <v>62</v>
      </c>
      <c r="E91" s="6" t="s">
        <v>30</v>
      </c>
      <c r="F91" s="6"/>
      <c r="G91" s="6" t="s">
        <v>49</v>
      </c>
      <c r="H91" s="6" t="s">
        <v>63</v>
      </c>
      <c r="I91" s="6" t="s">
        <v>30</v>
      </c>
      <c r="J91" s="6"/>
      <c r="K91" s="6" t="s">
        <v>25</v>
      </c>
      <c r="L91" s="6" t="s">
        <v>20</v>
      </c>
      <c r="M91" s="6" t="s">
        <v>30</v>
      </c>
      <c r="N91" s="6" t="s">
        <v>31</v>
      </c>
      <c r="O91" s="6"/>
      <c r="P91" s="6" t="s">
        <v>27</v>
      </c>
      <c r="Q91" s="6" t="s">
        <v>30</v>
      </c>
      <c r="R91" s="1"/>
      <c r="S91" s="1"/>
      <c r="T91" s="1"/>
      <c r="U91" s="1"/>
      <c r="V91" s="1"/>
      <c r="W91" s="1"/>
      <c r="X91" s="1"/>
      <c r="Y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3.2">
      <c r="A92" s="5">
        <v>44524.55264425926</v>
      </c>
      <c r="B92" s="6"/>
      <c r="C92" s="6" t="s">
        <v>18</v>
      </c>
      <c r="D92" s="289" t="s">
        <v>62</v>
      </c>
      <c r="E92" s="6" t="s">
        <v>30</v>
      </c>
      <c r="F92" s="6" t="s">
        <v>74</v>
      </c>
      <c r="G92" s="6" t="s">
        <v>49</v>
      </c>
      <c r="H92" s="6" t="s">
        <v>42</v>
      </c>
      <c r="I92" s="6" t="s">
        <v>30</v>
      </c>
      <c r="J92" s="6"/>
      <c r="K92" s="6" t="s">
        <v>20</v>
      </c>
      <c r="L92" s="6" t="s">
        <v>30</v>
      </c>
      <c r="M92" s="6"/>
      <c r="N92" s="6" t="s">
        <v>31</v>
      </c>
      <c r="O92" s="6"/>
      <c r="P92" s="6" t="s">
        <v>27</v>
      </c>
      <c r="Q92" s="6"/>
      <c r="R92" s="1"/>
      <c r="S92" s="1"/>
      <c r="T92" s="1"/>
      <c r="U92" s="1"/>
      <c r="V92" s="1"/>
      <c r="W92" s="1"/>
      <c r="X92" s="1"/>
      <c r="Y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3.2">
      <c r="A93" s="5">
        <v>44524.561996122684</v>
      </c>
      <c r="B93" s="6"/>
      <c r="C93" s="6" t="s">
        <v>18</v>
      </c>
      <c r="D93" s="290" t="s">
        <v>19</v>
      </c>
      <c r="E93" s="6" t="s">
        <v>20</v>
      </c>
      <c r="F93" s="6" t="s">
        <v>21</v>
      </c>
      <c r="G93" s="6" t="s">
        <v>22</v>
      </c>
      <c r="H93" s="6" t="s">
        <v>33</v>
      </c>
      <c r="I93" s="6" t="s">
        <v>30</v>
      </c>
      <c r="J93" s="6"/>
      <c r="K93" s="6" t="s">
        <v>25</v>
      </c>
      <c r="L93" s="6" t="s">
        <v>30</v>
      </c>
      <c r="M93" s="6"/>
      <c r="N93" s="6" t="s">
        <v>31</v>
      </c>
      <c r="O93" s="6"/>
      <c r="P93" s="6" t="s">
        <v>27</v>
      </c>
      <c r="Q93" s="6"/>
      <c r="R93" s="1"/>
      <c r="S93" s="1"/>
      <c r="T93" s="1"/>
      <c r="U93" s="1"/>
      <c r="V93" s="1"/>
      <c r="W93" s="1"/>
      <c r="X93" s="1"/>
      <c r="Y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3.2">
      <c r="A94" s="5">
        <v>44524.566953726855</v>
      </c>
      <c r="B94" s="6"/>
      <c r="C94" s="6" t="s">
        <v>28</v>
      </c>
      <c r="D94" s="289" t="s">
        <v>19</v>
      </c>
      <c r="E94" s="6" t="s">
        <v>20</v>
      </c>
      <c r="F94" s="6" t="s">
        <v>21</v>
      </c>
      <c r="G94" s="6" t="s">
        <v>22</v>
      </c>
      <c r="H94" s="6" t="s">
        <v>33</v>
      </c>
      <c r="I94" s="6" t="s">
        <v>30</v>
      </c>
      <c r="J94" s="6"/>
      <c r="K94" s="6" t="s">
        <v>20</v>
      </c>
      <c r="L94" s="6" t="s">
        <v>30</v>
      </c>
      <c r="M94" s="6" t="s">
        <v>30</v>
      </c>
      <c r="N94" s="6" t="s">
        <v>31</v>
      </c>
      <c r="O94" s="6"/>
      <c r="P94" s="6" t="s">
        <v>27</v>
      </c>
      <c r="Q94" s="6"/>
      <c r="R94" s="1"/>
      <c r="S94" s="1"/>
      <c r="T94" s="1"/>
      <c r="U94" s="1"/>
      <c r="V94" s="1"/>
      <c r="W94" s="1"/>
      <c r="X94" s="1"/>
      <c r="Y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</row>
    <row r="95" spans="1:39" ht="13.2">
      <c r="A95" s="5">
        <v>44524.589810046295</v>
      </c>
      <c r="B95" s="6"/>
      <c r="C95" s="6" t="s">
        <v>18</v>
      </c>
      <c r="D95" s="290" t="s">
        <v>19</v>
      </c>
      <c r="E95" s="6" t="s">
        <v>20</v>
      </c>
      <c r="F95" s="6" t="s">
        <v>35</v>
      </c>
      <c r="G95" s="6" t="s">
        <v>40</v>
      </c>
      <c r="H95" s="6" t="s">
        <v>33</v>
      </c>
      <c r="I95" s="6" t="s">
        <v>20</v>
      </c>
      <c r="J95" s="6" t="s">
        <v>121</v>
      </c>
      <c r="K95" s="6" t="s">
        <v>20</v>
      </c>
      <c r="L95" s="6" t="s">
        <v>30</v>
      </c>
      <c r="M95" s="6"/>
      <c r="N95" s="6" t="s">
        <v>31</v>
      </c>
      <c r="O95" s="6"/>
      <c r="P95" s="6" t="s">
        <v>27</v>
      </c>
      <c r="Q95" s="6"/>
      <c r="R95" s="1"/>
      <c r="S95" s="1"/>
      <c r="T95" s="1"/>
      <c r="U95" s="1"/>
      <c r="V95" s="1"/>
      <c r="W95" s="1"/>
      <c r="X95" s="1"/>
      <c r="Y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</row>
    <row r="96" spans="1:39" ht="13.2">
      <c r="A96" s="5">
        <v>44524.589827164353</v>
      </c>
      <c r="B96" s="6"/>
      <c r="C96" s="6" t="s">
        <v>28</v>
      </c>
      <c r="D96" s="289" t="s">
        <v>19</v>
      </c>
      <c r="E96" s="6" t="s">
        <v>20</v>
      </c>
      <c r="F96" s="6" t="s">
        <v>21</v>
      </c>
      <c r="G96" s="6" t="s">
        <v>22</v>
      </c>
      <c r="H96" s="6" t="s">
        <v>33</v>
      </c>
      <c r="I96" s="6" t="s">
        <v>20</v>
      </c>
      <c r="J96" s="6" t="s">
        <v>122</v>
      </c>
      <c r="K96" s="6" t="s">
        <v>20</v>
      </c>
      <c r="L96" s="6" t="s">
        <v>30</v>
      </c>
      <c r="M96" s="6"/>
      <c r="N96" s="6" t="s">
        <v>31</v>
      </c>
      <c r="O96" s="6"/>
      <c r="P96" s="6" t="s">
        <v>27</v>
      </c>
      <c r="Q96" s="6"/>
      <c r="R96" s="1"/>
      <c r="S96" s="1"/>
      <c r="T96" s="1"/>
      <c r="U96" s="1"/>
      <c r="V96" s="1"/>
      <c r="W96" s="1"/>
      <c r="X96" s="1"/>
      <c r="Y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</row>
    <row r="97" spans="1:39" ht="13.2">
      <c r="A97" s="5">
        <v>44524.591569652781</v>
      </c>
      <c r="B97" s="6"/>
      <c r="C97" s="6" t="s">
        <v>18</v>
      </c>
      <c r="D97" s="290" t="s">
        <v>19</v>
      </c>
      <c r="E97" s="6" t="s">
        <v>20</v>
      </c>
      <c r="F97" s="6" t="s">
        <v>21</v>
      </c>
      <c r="G97" s="6" t="s">
        <v>40</v>
      </c>
      <c r="H97" s="6" t="s">
        <v>33</v>
      </c>
      <c r="I97" s="6" t="s">
        <v>20</v>
      </c>
      <c r="J97" s="6"/>
      <c r="K97" s="6" t="s">
        <v>30</v>
      </c>
      <c r="L97" s="6" t="s">
        <v>20</v>
      </c>
      <c r="M97" s="6" t="s">
        <v>30</v>
      </c>
      <c r="N97" s="6" t="s">
        <v>31</v>
      </c>
      <c r="O97" s="6"/>
      <c r="P97" s="6" t="s">
        <v>27</v>
      </c>
      <c r="Q97" s="6"/>
      <c r="R97" s="1"/>
      <c r="S97" s="1"/>
      <c r="T97" s="1"/>
      <c r="U97" s="1"/>
      <c r="V97" s="1"/>
      <c r="W97" s="1"/>
      <c r="X97" s="1"/>
      <c r="Y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</row>
    <row r="98" spans="1:39" ht="13.2">
      <c r="A98" s="5">
        <v>44524.595881134257</v>
      </c>
      <c r="B98" s="6"/>
      <c r="C98" s="6" t="s">
        <v>18</v>
      </c>
      <c r="D98" s="289" t="s">
        <v>19</v>
      </c>
      <c r="E98" s="6" t="s">
        <v>30</v>
      </c>
      <c r="F98" s="6"/>
      <c r="G98" s="6" t="s">
        <v>49</v>
      </c>
      <c r="H98" s="6"/>
      <c r="I98" s="6" t="s">
        <v>30</v>
      </c>
      <c r="J98" s="6"/>
      <c r="K98" s="6" t="s">
        <v>20</v>
      </c>
      <c r="L98" s="6" t="s">
        <v>20</v>
      </c>
      <c r="M98" s="6"/>
      <c r="N98" s="6" t="s">
        <v>31</v>
      </c>
      <c r="O98" s="6"/>
      <c r="P98" s="6" t="s">
        <v>27</v>
      </c>
      <c r="Q98" s="6"/>
      <c r="R98" s="1"/>
      <c r="S98" s="1"/>
      <c r="T98" s="1"/>
      <c r="U98" s="1"/>
      <c r="V98" s="1"/>
      <c r="W98" s="1"/>
      <c r="X98" s="1"/>
      <c r="Y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</row>
    <row r="99" spans="1:39" ht="13.2">
      <c r="A99" s="5">
        <v>44524.612102824074</v>
      </c>
      <c r="B99" s="6"/>
      <c r="C99" s="6" t="s">
        <v>18</v>
      </c>
      <c r="D99" s="290" t="s">
        <v>48</v>
      </c>
      <c r="E99" s="6" t="s">
        <v>20</v>
      </c>
      <c r="F99" s="6" t="s">
        <v>35</v>
      </c>
      <c r="G99" s="6" t="s">
        <v>22</v>
      </c>
      <c r="H99" s="6" t="s">
        <v>36</v>
      </c>
      <c r="I99" s="6" t="s">
        <v>30</v>
      </c>
      <c r="J99" s="6"/>
      <c r="K99" s="6" t="s">
        <v>25</v>
      </c>
      <c r="L99" s="6" t="s">
        <v>20</v>
      </c>
      <c r="M99" s="6" t="s">
        <v>20</v>
      </c>
      <c r="N99" s="6" t="s">
        <v>31</v>
      </c>
      <c r="O99" s="6"/>
      <c r="P99" s="6" t="s">
        <v>34</v>
      </c>
      <c r="Q99" s="6"/>
      <c r="R99" s="1"/>
      <c r="S99" s="1"/>
      <c r="T99" s="1"/>
      <c r="U99" s="1"/>
      <c r="V99" s="1"/>
      <c r="W99" s="1"/>
      <c r="X99" s="1"/>
      <c r="Y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</row>
    <row r="100" spans="1:39" ht="13.2">
      <c r="A100" s="5">
        <v>44524.656063912036</v>
      </c>
      <c r="B100" s="6"/>
      <c r="C100" s="6" t="s">
        <v>18</v>
      </c>
      <c r="D100" s="289" t="s">
        <v>19</v>
      </c>
      <c r="E100" s="6" t="s">
        <v>20</v>
      </c>
      <c r="F100" s="6" t="s">
        <v>21</v>
      </c>
      <c r="G100" s="6" t="s">
        <v>40</v>
      </c>
      <c r="H100" s="6" t="s">
        <v>33</v>
      </c>
      <c r="I100" s="6" t="s">
        <v>20</v>
      </c>
      <c r="J100" s="6" t="s">
        <v>123</v>
      </c>
      <c r="K100" s="6" t="s">
        <v>25</v>
      </c>
      <c r="L100" s="6" t="s">
        <v>20</v>
      </c>
      <c r="M100" s="6" t="s">
        <v>20</v>
      </c>
      <c r="N100" s="6" t="s">
        <v>31</v>
      </c>
      <c r="O100" s="6"/>
      <c r="P100" s="6" t="s">
        <v>27</v>
      </c>
      <c r="Q100" s="6"/>
      <c r="R100" s="1"/>
      <c r="S100" s="1"/>
      <c r="T100" s="1"/>
      <c r="U100" s="1"/>
      <c r="V100" s="1"/>
      <c r="W100" s="1"/>
      <c r="X100" s="1"/>
      <c r="Y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</row>
    <row r="101" spans="1:39" ht="13.2">
      <c r="A101" s="5">
        <v>44524.75933724537</v>
      </c>
      <c r="B101" s="6"/>
      <c r="C101" s="6" t="s">
        <v>18</v>
      </c>
      <c r="D101" s="290" t="s">
        <v>19</v>
      </c>
      <c r="E101" s="6" t="s">
        <v>20</v>
      </c>
      <c r="F101" s="6" t="s">
        <v>35</v>
      </c>
      <c r="G101" s="6" t="s">
        <v>22</v>
      </c>
      <c r="H101" s="6" t="s">
        <v>36</v>
      </c>
      <c r="I101" s="6" t="s">
        <v>20</v>
      </c>
      <c r="J101" s="6" t="s">
        <v>124</v>
      </c>
      <c r="K101" s="6" t="s">
        <v>25</v>
      </c>
      <c r="L101" s="6" t="s">
        <v>20</v>
      </c>
      <c r="M101" s="6" t="s">
        <v>30</v>
      </c>
      <c r="N101" s="6" t="s">
        <v>31</v>
      </c>
      <c r="O101" s="6"/>
      <c r="P101" s="6" t="s">
        <v>27</v>
      </c>
      <c r="Q101" s="6" t="s">
        <v>125</v>
      </c>
      <c r="R101" s="1"/>
      <c r="S101" s="1"/>
      <c r="T101" s="1"/>
      <c r="U101" s="1"/>
      <c r="V101" s="1"/>
      <c r="W101" s="1"/>
      <c r="X101" s="1"/>
      <c r="Y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</row>
    <row r="102" spans="1:39" ht="13.2">
      <c r="A102" s="5">
        <v>44524.787075671295</v>
      </c>
      <c r="B102" s="6"/>
      <c r="C102" s="6" t="s">
        <v>18</v>
      </c>
      <c r="D102" s="289" t="s">
        <v>19</v>
      </c>
      <c r="E102" s="6" t="s">
        <v>20</v>
      </c>
      <c r="F102" s="6" t="s">
        <v>21</v>
      </c>
      <c r="G102" s="6" t="s">
        <v>22</v>
      </c>
      <c r="H102" s="6" t="s">
        <v>33</v>
      </c>
      <c r="I102" s="6" t="s">
        <v>20</v>
      </c>
      <c r="J102" s="6" t="s">
        <v>126</v>
      </c>
      <c r="K102" s="6" t="s">
        <v>25</v>
      </c>
      <c r="L102" s="6" t="s">
        <v>20</v>
      </c>
      <c r="M102" s="6" t="s">
        <v>20</v>
      </c>
      <c r="N102" s="6" t="s">
        <v>26</v>
      </c>
      <c r="O102" s="6" t="s">
        <v>127</v>
      </c>
      <c r="P102" s="6" t="s">
        <v>34</v>
      </c>
      <c r="Q102" s="6"/>
      <c r="R102" s="1"/>
      <c r="S102" s="1"/>
      <c r="T102" s="1"/>
      <c r="U102" s="1"/>
      <c r="V102" s="1"/>
      <c r="W102" s="1"/>
      <c r="X102" s="1"/>
      <c r="Y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</row>
    <row r="103" spans="1:39" ht="13.2">
      <c r="A103" s="5">
        <v>44524.883363460649</v>
      </c>
      <c r="B103" s="6"/>
      <c r="C103" s="6" t="s">
        <v>18</v>
      </c>
      <c r="D103" s="290" t="s">
        <v>19</v>
      </c>
      <c r="E103" s="6" t="s">
        <v>20</v>
      </c>
      <c r="F103" s="6" t="s">
        <v>35</v>
      </c>
      <c r="G103" s="6" t="s">
        <v>22</v>
      </c>
      <c r="H103" s="6" t="s">
        <v>33</v>
      </c>
      <c r="I103" s="6" t="s">
        <v>30</v>
      </c>
      <c r="J103" s="6"/>
      <c r="K103" s="6" t="s">
        <v>25</v>
      </c>
      <c r="L103" s="6" t="s">
        <v>20</v>
      </c>
      <c r="M103" s="6" t="s">
        <v>20</v>
      </c>
      <c r="N103" s="6" t="s">
        <v>31</v>
      </c>
      <c r="O103" s="6"/>
      <c r="P103" s="6" t="s">
        <v>27</v>
      </c>
      <c r="Q103" s="6"/>
      <c r="R103" s="1"/>
      <c r="S103" s="1"/>
      <c r="T103" s="1"/>
      <c r="U103" s="1"/>
      <c r="V103" s="1"/>
      <c r="W103" s="1"/>
      <c r="X103" s="1"/>
      <c r="Y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</row>
    <row r="104" spans="1:39" ht="13.2">
      <c r="A104" s="5">
        <v>44524.891562418983</v>
      </c>
      <c r="B104" s="6"/>
      <c r="C104" s="6" t="s">
        <v>18</v>
      </c>
      <c r="D104" s="289" t="s">
        <v>19</v>
      </c>
      <c r="E104" s="6" t="s">
        <v>20</v>
      </c>
      <c r="F104" s="6" t="s">
        <v>35</v>
      </c>
      <c r="G104" s="6" t="s">
        <v>22</v>
      </c>
      <c r="H104" s="6" t="s">
        <v>33</v>
      </c>
      <c r="I104" s="6" t="s">
        <v>20</v>
      </c>
      <c r="J104" s="6" t="s">
        <v>29</v>
      </c>
      <c r="K104" s="6" t="s">
        <v>30</v>
      </c>
      <c r="L104" s="6" t="s">
        <v>30</v>
      </c>
      <c r="M104" s="6"/>
      <c r="N104" s="6" t="s">
        <v>31</v>
      </c>
      <c r="O104" s="6"/>
      <c r="P104" s="6" t="s">
        <v>27</v>
      </c>
      <c r="Q104" s="6"/>
      <c r="R104" s="1"/>
      <c r="S104" s="1"/>
      <c r="T104" s="1"/>
      <c r="U104" s="1"/>
      <c r="V104" s="1"/>
      <c r="W104" s="1"/>
      <c r="X104" s="1"/>
      <c r="Y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</row>
    <row r="105" spans="1:39" ht="13.2">
      <c r="A105" s="5">
        <v>44525.320712129629</v>
      </c>
      <c r="B105" s="7"/>
      <c r="C105" s="6" t="s">
        <v>18</v>
      </c>
      <c r="D105" s="290" t="s">
        <v>19</v>
      </c>
      <c r="E105" s="6" t="s">
        <v>30</v>
      </c>
      <c r="F105" s="6" t="s">
        <v>39</v>
      </c>
      <c r="G105" s="6" t="s">
        <v>49</v>
      </c>
      <c r="H105" s="6" t="s">
        <v>42</v>
      </c>
      <c r="I105" s="6" t="s">
        <v>30</v>
      </c>
      <c r="J105" s="6"/>
      <c r="K105" s="6" t="s">
        <v>20</v>
      </c>
      <c r="L105" s="6" t="s">
        <v>30</v>
      </c>
      <c r="M105" s="6"/>
      <c r="N105" s="6" t="s">
        <v>26</v>
      </c>
      <c r="O105" s="6" t="s">
        <v>128</v>
      </c>
      <c r="P105" s="6" t="s">
        <v>52</v>
      </c>
      <c r="Q105" s="6"/>
      <c r="R105" s="1"/>
      <c r="S105" s="1"/>
      <c r="T105" s="1"/>
      <c r="U105" s="1"/>
      <c r="V105" s="1"/>
      <c r="W105" s="1"/>
      <c r="X105" s="1"/>
      <c r="Y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</row>
    <row r="106" spans="1:39" ht="13.2">
      <c r="A106" s="5">
        <v>44525.388150567131</v>
      </c>
      <c r="B106" s="6"/>
      <c r="C106" s="6" t="s">
        <v>18</v>
      </c>
      <c r="D106" s="289" t="s">
        <v>19</v>
      </c>
      <c r="E106" s="6" t="s">
        <v>20</v>
      </c>
      <c r="F106" s="6" t="s">
        <v>21</v>
      </c>
      <c r="G106" s="6" t="s">
        <v>54</v>
      </c>
      <c r="H106" s="6" t="s">
        <v>33</v>
      </c>
      <c r="I106" s="6" t="s">
        <v>30</v>
      </c>
      <c r="J106" s="6"/>
      <c r="K106" s="6" t="s">
        <v>25</v>
      </c>
      <c r="L106" s="6" t="s">
        <v>20</v>
      </c>
      <c r="M106" s="6" t="s">
        <v>30</v>
      </c>
      <c r="N106" s="6" t="s">
        <v>31</v>
      </c>
      <c r="O106" s="6"/>
      <c r="P106" s="6" t="s">
        <v>27</v>
      </c>
      <c r="Q106" s="6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</row>
    <row r="107" spans="1:39" ht="13.2">
      <c r="A107" s="5">
        <v>44525.41463954861</v>
      </c>
      <c r="B107" s="6"/>
      <c r="C107" s="6" t="s">
        <v>28</v>
      </c>
      <c r="D107" s="290" t="s">
        <v>48</v>
      </c>
      <c r="E107" s="6" t="s">
        <v>20</v>
      </c>
      <c r="F107" s="6" t="s">
        <v>35</v>
      </c>
      <c r="G107" s="6" t="s">
        <v>40</v>
      </c>
      <c r="H107" s="6" t="s">
        <v>36</v>
      </c>
      <c r="I107" s="6" t="s">
        <v>30</v>
      </c>
      <c r="J107" s="6"/>
      <c r="K107" s="6" t="s">
        <v>25</v>
      </c>
      <c r="L107" s="6" t="s">
        <v>30</v>
      </c>
      <c r="M107" s="6"/>
      <c r="N107" s="6" t="s">
        <v>31</v>
      </c>
      <c r="O107" s="6"/>
      <c r="P107" s="6" t="s">
        <v>27</v>
      </c>
      <c r="Q107" s="6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</row>
    <row r="108" spans="1:39" ht="13.2">
      <c r="A108" s="5">
        <v>44525.589789675927</v>
      </c>
      <c r="B108" s="6"/>
      <c r="C108" s="6" t="s">
        <v>18</v>
      </c>
      <c r="D108" s="289" t="s">
        <v>19</v>
      </c>
      <c r="E108" s="6" t="s">
        <v>20</v>
      </c>
      <c r="F108" s="6" t="s">
        <v>35</v>
      </c>
      <c r="G108" s="6" t="s">
        <v>40</v>
      </c>
      <c r="H108" s="6" t="s">
        <v>42</v>
      </c>
      <c r="I108" s="6" t="s">
        <v>20</v>
      </c>
      <c r="J108" s="6" t="s">
        <v>85</v>
      </c>
      <c r="K108" s="6" t="s">
        <v>20</v>
      </c>
      <c r="L108" s="6" t="s">
        <v>20</v>
      </c>
      <c r="M108" s="6" t="s">
        <v>30</v>
      </c>
      <c r="N108" s="6" t="s">
        <v>26</v>
      </c>
      <c r="O108" s="6" t="s">
        <v>129</v>
      </c>
      <c r="P108" s="6" t="s">
        <v>34</v>
      </c>
      <c r="Q108" s="6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</row>
    <row r="109" spans="1:39" ht="13.2">
      <c r="A109" s="5">
        <v>44525.610940844912</v>
      </c>
      <c r="B109" s="6"/>
      <c r="C109" s="6" t="s">
        <v>18</v>
      </c>
      <c r="D109" s="290" t="s">
        <v>19</v>
      </c>
      <c r="E109" s="6" t="s">
        <v>20</v>
      </c>
      <c r="F109" s="6" t="s">
        <v>35</v>
      </c>
      <c r="G109" s="6" t="s">
        <v>22</v>
      </c>
      <c r="H109" s="6" t="s">
        <v>63</v>
      </c>
      <c r="I109" s="6" t="s">
        <v>20</v>
      </c>
      <c r="J109" s="6"/>
      <c r="K109" s="6" t="s">
        <v>25</v>
      </c>
      <c r="L109" s="6" t="s">
        <v>20</v>
      </c>
      <c r="M109" s="6" t="s">
        <v>20</v>
      </c>
      <c r="N109" s="6" t="s">
        <v>31</v>
      </c>
      <c r="O109" s="6"/>
      <c r="P109" s="6" t="s">
        <v>34</v>
      </c>
      <c r="Q109" s="6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</row>
    <row r="110" spans="1:39" ht="13.2">
      <c r="A110" s="5">
        <v>44525.672710949075</v>
      </c>
      <c r="B110" s="6"/>
      <c r="C110" s="6" t="s">
        <v>18</v>
      </c>
      <c r="D110" s="289" t="s">
        <v>19</v>
      </c>
      <c r="E110" s="6" t="s">
        <v>20</v>
      </c>
      <c r="F110" s="6" t="s">
        <v>35</v>
      </c>
      <c r="G110" s="6" t="s">
        <v>49</v>
      </c>
      <c r="H110" s="6" t="s">
        <v>42</v>
      </c>
      <c r="I110" s="6" t="s">
        <v>20</v>
      </c>
      <c r="J110" s="6" t="s">
        <v>130</v>
      </c>
      <c r="K110" s="6" t="s">
        <v>20</v>
      </c>
      <c r="L110" s="6" t="s">
        <v>20</v>
      </c>
      <c r="M110" s="6" t="s">
        <v>20</v>
      </c>
      <c r="N110" s="6" t="s">
        <v>26</v>
      </c>
      <c r="O110" s="6" t="s">
        <v>131</v>
      </c>
      <c r="P110" s="6" t="s">
        <v>34</v>
      </c>
      <c r="Q110" s="6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39" ht="13.2">
      <c r="A111" s="5">
        <v>44525.685270162037</v>
      </c>
      <c r="B111" s="6"/>
      <c r="C111" s="6" t="s">
        <v>28</v>
      </c>
      <c r="D111" s="290" t="s">
        <v>48</v>
      </c>
      <c r="E111" s="6" t="s">
        <v>20</v>
      </c>
      <c r="F111" s="6" t="s">
        <v>39</v>
      </c>
      <c r="G111" s="6" t="s">
        <v>22</v>
      </c>
      <c r="H111" s="6" t="s">
        <v>33</v>
      </c>
      <c r="I111" s="6" t="s">
        <v>30</v>
      </c>
      <c r="J111" s="6"/>
      <c r="K111" s="6" t="s">
        <v>25</v>
      </c>
      <c r="L111" s="6" t="s">
        <v>30</v>
      </c>
      <c r="M111" s="6"/>
      <c r="N111" s="6" t="s">
        <v>31</v>
      </c>
      <c r="O111" s="6"/>
      <c r="P111" s="6" t="s">
        <v>27</v>
      </c>
      <c r="Q111" s="6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3.2">
      <c r="A112" s="5">
        <v>44525.704369710649</v>
      </c>
      <c r="B112" s="6"/>
      <c r="C112" s="6" t="s">
        <v>18</v>
      </c>
      <c r="D112" s="289" t="s">
        <v>19</v>
      </c>
      <c r="E112" s="6" t="s">
        <v>20</v>
      </c>
      <c r="F112" s="6" t="s">
        <v>132</v>
      </c>
      <c r="G112" s="6" t="s">
        <v>22</v>
      </c>
      <c r="H112" s="6" t="s">
        <v>23</v>
      </c>
      <c r="I112" s="6" t="s">
        <v>20</v>
      </c>
      <c r="J112" s="6" t="s">
        <v>133</v>
      </c>
      <c r="K112" s="6" t="s">
        <v>25</v>
      </c>
      <c r="L112" s="6" t="s">
        <v>30</v>
      </c>
      <c r="M112" s="6"/>
      <c r="N112" s="6" t="s">
        <v>31</v>
      </c>
      <c r="O112" s="6"/>
      <c r="P112" s="6" t="s">
        <v>27</v>
      </c>
      <c r="Q112" s="6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3.2">
      <c r="A113" s="5">
        <v>44525.774740914349</v>
      </c>
      <c r="B113" s="6"/>
      <c r="C113" s="6" t="s">
        <v>18</v>
      </c>
      <c r="D113" s="290" t="s">
        <v>19</v>
      </c>
      <c r="E113" s="6" t="s">
        <v>20</v>
      </c>
      <c r="F113" s="6" t="s">
        <v>32</v>
      </c>
      <c r="G113" s="6" t="s">
        <v>49</v>
      </c>
      <c r="H113" s="6" t="s">
        <v>23</v>
      </c>
      <c r="I113" s="6" t="s">
        <v>20</v>
      </c>
      <c r="J113" s="6" t="s">
        <v>134</v>
      </c>
      <c r="K113" s="6" t="s">
        <v>20</v>
      </c>
      <c r="L113" s="6" t="s">
        <v>20</v>
      </c>
      <c r="M113" s="6" t="s">
        <v>30</v>
      </c>
      <c r="N113" s="6" t="s">
        <v>26</v>
      </c>
      <c r="O113" s="6" t="s">
        <v>135</v>
      </c>
      <c r="P113" s="6" t="s">
        <v>52</v>
      </c>
      <c r="Q113" s="6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3.2">
      <c r="A114" s="5">
        <v>44525.84740731481</v>
      </c>
      <c r="B114" s="6"/>
      <c r="C114" s="6" t="s">
        <v>18</v>
      </c>
      <c r="D114" s="289" t="s">
        <v>19</v>
      </c>
      <c r="E114" s="6" t="s">
        <v>30</v>
      </c>
      <c r="F114" s="6" t="s">
        <v>21</v>
      </c>
      <c r="G114" s="6" t="s">
        <v>22</v>
      </c>
      <c r="H114" s="6" t="s">
        <v>23</v>
      </c>
      <c r="I114" s="6" t="s">
        <v>30</v>
      </c>
      <c r="J114" s="6"/>
      <c r="K114" s="6" t="s">
        <v>25</v>
      </c>
      <c r="L114" s="6" t="s">
        <v>30</v>
      </c>
      <c r="M114" s="6" t="s">
        <v>30</v>
      </c>
      <c r="N114" s="6" t="s">
        <v>31</v>
      </c>
      <c r="O114" s="6"/>
      <c r="P114" s="6" t="s">
        <v>34</v>
      </c>
      <c r="Q114" s="6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3.2">
      <c r="A115" s="5">
        <v>44525.931059837967</v>
      </c>
      <c r="B115" s="6"/>
      <c r="C115" s="6" t="s">
        <v>28</v>
      </c>
      <c r="D115" s="290" t="s">
        <v>19</v>
      </c>
      <c r="E115" s="6" t="s">
        <v>30</v>
      </c>
      <c r="F115" s="6"/>
      <c r="G115" s="6" t="s">
        <v>49</v>
      </c>
      <c r="H115" s="6" t="s">
        <v>33</v>
      </c>
      <c r="I115" s="6" t="s">
        <v>30</v>
      </c>
      <c r="J115" s="6"/>
      <c r="K115" s="6" t="s">
        <v>25</v>
      </c>
      <c r="L115" s="6" t="s">
        <v>30</v>
      </c>
      <c r="M115" s="6"/>
      <c r="N115" s="6" t="s">
        <v>31</v>
      </c>
      <c r="O115" s="6"/>
      <c r="P115" s="6" t="s">
        <v>34</v>
      </c>
      <c r="Q115" s="6"/>
      <c r="R115" s="1"/>
      <c r="S115" s="1"/>
      <c r="T115" s="1"/>
      <c r="U115" s="1"/>
      <c r="V115" s="1"/>
      <c r="W115" s="1"/>
      <c r="X115" s="1"/>
      <c r="Y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3.2">
      <c r="A116" s="5">
        <v>44526.371801435183</v>
      </c>
      <c r="B116" s="6"/>
      <c r="C116" s="6" t="s">
        <v>18</v>
      </c>
      <c r="D116" s="289" t="s">
        <v>19</v>
      </c>
      <c r="E116" s="6" t="s">
        <v>20</v>
      </c>
      <c r="F116" s="6" t="s">
        <v>32</v>
      </c>
      <c r="G116" s="6" t="s">
        <v>40</v>
      </c>
      <c r="H116" s="6" t="s">
        <v>33</v>
      </c>
      <c r="I116" s="6" t="s">
        <v>20</v>
      </c>
      <c r="J116" s="6" t="s">
        <v>136</v>
      </c>
      <c r="K116" s="6" t="s">
        <v>25</v>
      </c>
      <c r="L116" s="6" t="s">
        <v>20</v>
      </c>
      <c r="M116" s="6" t="s">
        <v>20</v>
      </c>
      <c r="N116" s="6" t="s">
        <v>31</v>
      </c>
      <c r="O116" s="6"/>
      <c r="P116" s="6" t="s">
        <v>34</v>
      </c>
      <c r="Q116" s="6"/>
      <c r="R116" s="1"/>
      <c r="S116" s="1"/>
      <c r="T116" s="1"/>
      <c r="U116" s="1"/>
      <c r="V116" s="1"/>
      <c r="W116" s="1"/>
      <c r="X116" s="1"/>
      <c r="Y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3.2">
      <c r="A117" s="5">
        <v>44526.805540532412</v>
      </c>
      <c r="B117" s="6"/>
      <c r="C117" s="6" t="s">
        <v>18</v>
      </c>
      <c r="D117" s="290" t="s">
        <v>19</v>
      </c>
      <c r="E117" s="6" t="s">
        <v>20</v>
      </c>
      <c r="F117" s="6" t="s">
        <v>35</v>
      </c>
      <c r="G117" s="6" t="s">
        <v>40</v>
      </c>
      <c r="H117" s="6" t="s">
        <v>42</v>
      </c>
      <c r="I117" s="6" t="s">
        <v>20</v>
      </c>
      <c r="J117" s="6" t="s">
        <v>137</v>
      </c>
      <c r="K117" s="6" t="s">
        <v>30</v>
      </c>
      <c r="L117" s="6" t="s">
        <v>30</v>
      </c>
      <c r="M117" s="6"/>
      <c r="N117" s="6" t="s">
        <v>26</v>
      </c>
      <c r="O117" s="6" t="s">
        <v>138</v>
      </c>
      <c r="P117" s="6" t="s">
        <v>27</v>
      </c>
      <c r="Q117" s="6"/>
      <c r="R117" s="1"/>
      <c r="S117" s="1"/>
      <c r="T117" s="1"/>
      <c r="U117" s="1"/>
      <c r="V117" s="1"/>
      <c r="W117" s="1"/>
      <c r="X117" s="1"/>
      <c r="Y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3.2">
      <c r="A118" s="5">
        <v>44526.838709062504</v>
      </c>
      <c r="B118" s="6"/>
      <c r="C118" s="6" t="s">
        <v>18</v>
      </c>
      <c r="D118" s="289" t="s">
        <v>19</v>
      </c>
      <c r="E118" s="6" t="s">
        <v>30</v>
      </c>
      <c r="F118" s="6" t="s">
        <v>39</v>
      </c>
      <c r="G118" s="6" t="s">
        <v>49</v>
      </c>
      <c r="H118" s="6" t="s">
        <v>33</v>
      </c>
      <c r="I118" s="6" t="s">
        <v>20</v>
      </c>
      <c r="J118" s="6" t="s">
        <v>139</v>
      </c>
      <c r="K118" s="6" t="s">
        <v>20</v>
      </c>
      <c r="L118" s="6" t="s">
        <v>20</v>
      </c>
      <c r="M118" s="6" t="s">
        <v>30</v>
      </c>
      <c r="N118" s="6" t="s">
        <v>26</v>
      </c>
      <c r="O118" s="6" t="s">
        <v>140</v>
      </c>
      <c r="P118" s="6" t="s">
        <v>34</v>
      </c>
      <c r="Q118" s="6"/>
      <c r="R118" s="1"/>
      <c r="S118" s="1"/>
      <c r="T118" s="1"/>
      <c r="U118" s="1"/>
      <c r="V118" s="1"/>
      <c r="W118" s="1"/>
      <c r="X118" s="1"/>
      <c r="Y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3.2">
      <c r="A119" s="5">
        <v>44526.886599305551</v>
      </c>
      <c r="B119" s="6"/>
      <c r="C119" s="6" t="s">
        <v>18</v>
      </c>
      <c r="D119" s="290" t="s">
        <v>19</v>
      </c>
      <c r="E119" s="6" t="s">
        <v>20</v>
      </c>
      <c r="F119" s="6" t="s">
        <v>35</v>
      </c>
      <c r="G119" s="6" t="s">
        <v>22</v>
      </c>
      <c r="H119" s="6" t="s">
        <v>33</v>
      </c>
      <c r="I119" s="6" t="s">
        <v>20</v>
      </c>
      <c r="J119" s="6" t="s">
        <v>141</v>
      </c>
      <c r="K119" s="6" t="s">
        <v>20</v>
      </c>
      <c r="L119" s="6" t="s">
        <v>30</v>
      </c>
      <c r="M119" s="6"/>
      <c r="N119" s="6" t="s">
        <v>31</v>
      </c>
      <c r="O119" s="6"/>
      <c r="P119" s="6" t="s">
        <v>27</v>
      </c>
      <c r="Q119" s="6"/>
      <c r="R119" s="1"/>
      <c r="S119" s="1"/>
      <c r="T119" s="1"/>
      <c r="U119" s="1"/>
      <c r="V119" s="1"/>
      <c r="W119" s="1"/>
      <c r="X119" s="1"/>
      <c r="Y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3.2">
      <c r="A120" s="5">
        <v>44526.888869351853</v>
      </c>
      <c r="B120" s="6"/>
      <c r="C120" s="6" t="s">
        <v>18</v>
      </c>
      <c r="D120" s="289" t="s">
        <v>19</v>
      </c>
      <c r="E120" s="6" t="s">
        <v>20</v>
      </c>
      <c r="F120" s="6" t="s">
        <v>21</v>
      </c>
      <c r="G120" s="6" t="s">
        <v>22</v>
      </c>
      <c r="H120" s="6" t="s">
        <v>33</v>
      </c>
      <c r="I120" s="6" t="s">
        <v>20</v>
      </c>
      <c r="J120" s="6" t="s">
        <v>142</v>
      </c>
      <c r="K120" s="6" t="s">
        <v>30</v>
      </c>
      <c r="L120" s="6" t="s">
        <v>30</v>
      </c>
      <c r="M120" s="6"/>
      <c r="N120" s="6" t="s">
        <v>31</v>
      </c>
      <c r="O120" s="6"/>
      <c r="P120" s="6" t="s">
        <v>27</v>
      </c>
      <c r="Q120" s="6"/>
      <c r="R120" s="1"/>
      <c r="S120" s="1"/>
      <c r="T120" s="1"/>
      <c r="U120" s="1"/>
      <c r="V120" s="1"/>
      <c r="W120" s="1"/>
      <c r="X120" s="1"/>
      <c r="Y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3.2">
      <c r="A121" s="5">
        <v>44528.635805937505</v>
      </c>
      <c r="B121" s="6"/>
      <c r="C121" s="6" t="s">
        <v>28</v>
      </c>
      <c r="D121" s="290" t="s">
        <v>143</v>
      </c>
      <c r="E121" s="6" t="s">
        <v>20</v>
      </c>
      <c r="F121" s="6" t="s">
        <v>39</v>
      </c>
      <c r="G121" s="6" t="s">
        <v>40</v>
      </c>
      <c r="H121" s="6" t="s">
        <v>63</v>
      </c>
      <c r="I121" s="6" t="s">
        <v>30</v>
      </c>
      <c r="J121" s="6"/>
      <c r="K121" s="6" t="s">
        <v>20</v>
      </c>
      <c r="L121" s="6" t="s">
        <v>30</v>
      </c>
      <c r="M121" s="6" t="s">
        <v>30</v>
      </c>
      <c r="N121" s="6" t="s">
        <v>51</v>
      </c>
      <c r="O121" s="6"/>
      <c r="P121" s="6" t="s">
        <v>27</v>
      </c>
      <c r="Q121" s="6"/>
      <c r="R121" s="1"/>
      <c r="S121" s="1"/>
      <c r="T121" s="1"/>
      <c r="U121" s="1"/>
      <c r="V121" s="1"/>
      <c r="W121" s="1"/>
      <c r="X121" s="1"/>
      <c r="Y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3.2">
      <c r="A122" s="5">
        <v>44528.648531064813</v>
      </c>
      <c r="B122" s="6"/>
      <c r="C122" s="6" t="s">
        <v>18</v>
      </c>
      <c r="D122" s="289" t="s">
        <v>19</v>
      </c>
      <c r="E122" s="6" t="s">
        <v>20</v>
      </c>
      <c r="F122" s="6" t="s">
        <v>35</v>
      </c>
      <c r="G122" s="6" t="s">
        <v>22</v>
      </c>
      <c r="H122" s="6" t="s">
        <v>42</v>
      </c>
      <c r="I122" s="6" t="s">
        <v>20</v>
      </c>
      <c r="J122" s="6" t="s">
        <v>142</v>
      </c>
      <c r="K122" s="6" t="s">
        <v>20</v>
      </c>
      <c r="L122" s="6" t="s">
        <v>20</v>
      </c>
      <c r="M122" s="6" t="s">
        <v>30</v>
      </c>
      <c r="N122" s="6" t="s">
        <v>26</v>
      </c>
      <c r="O122" s="6" t="s">
        <v>144</v>
      </c>
      <c r="P122" s="6" t="s">
        <v>27</v>
      </c>
      <c r="Q122" s="6"/>
      <c r="R122" s="1"/>
      <c r="S122" s="1"/>
      <c r="T122" s="1"/>
      <c r="U122" s="1"/>
      <c r="V122" s="1"/>
      <c r="W122" s="1"/>
      <c r="X122" s="1"/>
      <c r="Y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3.2">
      <c r="A123" s="5">
        <v>44528.650492291665</v>
      </c>
      <c r="B123" s="6"/>
      <c r="C123" s="6" t="s">
        <v>18</v>
      </c>
      <c r="D123" s="290" t="s">
        <v>87</v>
      </c>
      <c r="E123" s="6" t="s">
        <v>20</v>
      </c>
      <c r="F123" s="6" t="s">
        <v>74</v>
      </c>
      <c r="G123" s="6" t="s">
        <v>40</v>
      </c>
      <c r="H123" s="6" t="s">
        <v>42</v>
      </c>
      <c r="I123" s="6" t="s">
        <v>30</v>
      </c>
      <c r="J123" s="6"/>
      <c r="K123" s="6" t="s">
        <v>30</v>
      </c>
      <c r="L123" s="6" t="s">
        <v>20</v>
      </c>
      <c r="M123" s="6"/>
      <c r="N123" s="6" t="s">
        <v>31</v>
      </c>
      <c r="O123" s="6"/>
      <c r="P123" s="6" t="s">
        <v>27</v>
      </c>
      <c r="Q123" s="6"/>
      <c r="R123" s="1"/>
      <c r="S123" s="1"/>
      <c r="T123" s="1"/>
      <c r="U123" s="1"/>
      <c r="V123" s="1"/>
      <c r="W123" s="1"/>
      <c r="X123" s="1"/>
      <c r="Y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3.2">
      <c r="A124" s="5">
        <v>44528.650535636574</v>
      </c>
      <c r="B124" s="6"/>
      <c r="C124" s="6" t="s">
        <v>28</v>
      </c>
      <c r="D124" s="289" t="s">
        <v>19</v>
      </c>
      <c r="E124" s="6" t="s">
        <v>20</v>
      </c>
      <c r="F124" s="6" t="s">
        <v>39</v>
      </c>
      <c r="G124" s="6" t="s">
        <v>22</v>
      </c>
      <c r="H124" s="6" t="s">
        <v>33</v>
      </c>
      <c r="I124" s="6" t="s">
        <v>30</v>
      </c>
      <c r="J124" s="6"/>
      <c r="K124" s="6" t="s">
        <v>20</v>
      </c>
      <c r="L124" s="6" t="s">
        <v>30</v>
      </c>
      <c r="M124" s="6"/>
      <c r="N124" s="6" t="s">
        <v>31</v>
      </c>
      <c r="O124" s="6"/>
      <c r="P124" s="6" t="s">
        <v>27</v>
      </c>
      <c r="Q124" s="6"/>
      <c r="R124" s="1"/>
      <c r="S124" s="1"/>
      <c r="T124" s="1"/>
      <c r="U124" s="1"/>
      <c r="V124" s="1"/>
      <c r="W124" s="1"/>
      <c r="X124" s="1"/>
      <c r="Y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3.2">
      <c r="A125" s="5">
        <v>44528.652084467598</v>
      </c>
      <c r="B125" s="6"/>
      <c r="C125" s="6" t="s">
        <v>28</v>
      </c>
      <c r="D125" s="290" t="s">
        <v>19</v>
      </c>
      <c r="E125" s="6" t="s">
        <v>20</v>
      </c>
      <c r="F125" s="6" t="s">
        <v>74</v>
      </c>
      <c r="G125" s="6" t="s">
        <v>22</v>
      </c>
      <c r="H125" s="6" t="s">
        <v>33</v>
      </c>
      <c r="I125" s="6" t="s">
        <v>30</v>
      </c>
      <c r="J125" s="6"/>
      <c r="K125" s="6" t="s">
        <v>30</v>
      </c>
      <c r="L125" s="6" t="s">
        <v>30</v>
      </c>
      <c r="M125" s="6"/>
      <c r="N125" s="6" t="s">
        <v>51</v>
      </c>
      <c r="O125" s="6"/>
      <c r="P125" s="6" t="s">
        <v>52</v>
      </c>
      <c r="Q125" s="6"/>
      <c r="R125" s="1"/>
      <c r="S125" s="1"/>
      <c r="T125" s="1"/>
      <c r="U125" s="1"/>
      <c r="V125" s="1"/>
      <c r="W125" s="1"/>
      <c r="X125" s="1"/>
      <c r="Y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3.2">
      <c r="A126" s="5">
        <v>44528.652404456021</v>
      </c>
      <c r="B126" s="6"/>
      <c r="C126" s="6" t="s">
        <v>28</v>
      </c>
      <c r="D126" s="289" t="s">
        <v>97</v>
      </c>
      <c r="E126" s="6" t="s">
        <v>20</v>
      </c>
      <c r="F126" s="6" t="s">
        <v>32</v>
      </c>
      <c r="G126" s="6" t="s">
        <v>22</v>
      </c>
      <c r="H126" s="6" t="s">
        <v>67</v>
      </c>
      <c r="I126" s="6" t="s">
        <v>20</v>
      </c>
      <c r="J126" s="6" t="s">
        <v>145</v>
      </c>
      <c r="K126" s="6" t="s">
        <v>25</v>
      </c>
      <c r="L126" s="6" t="s">
        <v>30</v>
      </c>
      <c r="M126" s="6"/>
      <c r="N126" s="6" t="s">
        <v>31</v>
      </c>
      <c r="O126" s="6"/>
      <c r="P126" s="6" t="s">
        <v>52</v>
      </c>
      <c r="Q126" s="6"/>
      <c r="R126" s="1"/>
      <c r="S126" s="1"/>
      <c r="T126" s="1"/>
      <c r="U126" s="1"/>
      <c r="V126" s="1"/>
      <c r="W126" s="1"/>
      <c r="X126" s="1"/>
      <c r="Y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3.2">
      <c r="A127" s="5">
        <v>44528.663063113425</v>
      </c>
      <c r="B127" s="6"/>
      <c r="C127" s="6" t="s">
        <v>18</v>
      </c>
      <c r="D127" s="290" t="s">
        <v>62</v>
      </c>
      <c r="E127" s="6" t="s">
        <v>30</v>
      </c>
      <c r="F127" s="6"/>
      <c r="G127" s="6"/>
      <c r="H127" s="6" t="s">
        <v>33</v>
      </c>
      <c r="I127" s="6" t="s">
        <v>20</v>
      </c>
      <c r="J127" s="6" t="s">
        <v>146</v>
      </c>
      <c r="K127" s="6" t="s">
        <v>20</v>
      </c>
      <c r="L127" s="6" t="s">
        <v>20</v>
      </c>
      <c r="M127" s="6" t="s">
        <v>20</v>
      </c>
      <c r="N127" s="6" t="s">
        <v>26</v>
      </c>
      <c r="O127" s="6" t="s">
        <v>147</v>
      </c>
      <c r="P127" s="6" t="s">
        <v>34</v>
      </c>
      <c r="Q127" s="6"/>
      <c r="R127" s="1"/>
      <c r="S127" s="1"/>
      <c r="T127" s="1"/>
      <c r="U127" s="1"/>
      <c r="V127" s="1"/>
      <c r="W127" s="1"/>
      <c r="X127" s="1"/>
      <c r="Y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3.2">
      <c r="A128" s="5">
        <v>44528.66665136574</v>
      </c>
      <c r="B128" s="6"/>
      <c r="C128" s="6" t="s">
        <v>18</v>
      </c>
      <c r="D128" s="289" t="s">
        <v>19</v>
      </c>
      <c r="E128" s="6" t="s">
        <v>20</v>
      </c>
      <c r="F128" s="6" t="s">
        <v>74</v>
      </c>
      <c r="G128" s="6" t="s">
        <v>40</v>
      </c>
      <c r="H128" s="6" t="s">
        <v>33</v>
      </c>
      <c r="I128" s="6"/>
      <c r="J128" s="6"/>
      <c r="K128" s="6" t="s">
        <v>25</v>
      </c>
      <c r="L128" s="6" t="s">
        <v>20</v>
      </c>
      <c r="M128" s="6" t="s">
        <v>20</v>
      </c>
      <c r="N128" s="6" t="s">
        <v>31</v>
      </c>
      <c r="O128" s="6"/>
      <c r="P128" s="6" t="s">
        <v>27</v>
      </c>
      <c r="Q128" s="6"/>
      <c r="R128" s="1"/>
      <c r="S128" s="1"/>
      <c r="T128" s="1"/>
      <c r="U128" s="1"/>
      <c r="V128" s="1"/>
      <c r="W128" s="1"/>
      <c r="X128" s="1"/>
      <c r="Y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7.25" customHeight="1">
      <c r="A129" s="5">
        <v>44528.668661736112</v>
      </c>
      <c r="B129" s="6"/>
      <c r="C129" s="6" t="s">
        <v>28</v>
      </c>
      <c r="D129" s="290" t="s">
        <v>48</v>
      </c>
      <c r="E129" s="6" t="s">
        <v>20</v>
      </c>
      <c r="F129" s="6" t="s">
        <v>148</v>
      </c>
      <c r="G129" s="6" t="s">
        <v>22</v>
      </c>
      <c r="H129" s="6" t="s">
        <v>23</v>
      </c>
      <c r="I129" s="6" t="s">
        <v>30</v>
      </c>
      <c r="J129" s="6"/>
      <c r="K129" s="6" t="s">
        <v>25</v>
      </c>
      <c r="L129" s="6" t="s">
        <v>20</v>
      </c>
      <c r="M129" s="6" t="s">
        <v>20</v>
      </c>
      <c r="N129" s="6" t="s">
        <v>31</v>
      </c>
      <c r="O129" s="6"/>
      <c r="P129" s="6" t="s">
        <v>34</v>
      </c>
      <c r="Q129" s="6"/>
      <c r="R129" s="1"/>
      <c r="S129" s="1"/>
      <c r="T129" s="1"/>
      <c r="U129" s="1"/>
      <c r="V129" s="1"/>
      <c r="W129" s="1"/>
      <c r="X129" s="1"/>
      <c r="Y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3.2">
      <c r="A130" s="5">
        <v>44528.66889883102</v>
      </c>
      <c r="B130" s="6"/>
      <c r="C130" s="6" t="s">
        <v>28</v>
      </c>
      <c r="D130" s="289" t="s">
        <v>62</v>
      </c>
      <c r="E130" s="6" t="s">
        <v>20</v>
      </c>
      <c r="F130" s="6" t="s">
        <v>39</v>
      </c>
      <c r="G130" s="6" t="s">
        <v>22</v>
      </c>
      <c r="H130" s="6" t="s">
        <v>63</v>
      </c>
      <c r="I130" s="6" t="s">
        <v>30</v>
      </c>
      <c r="J130" s="6"/>
      <c r="K130" s="6" t="s">
        <v>30</v>
      </c>
      <c r="L130" s="6" t="s">
        <v>30</v>
      </c>
      <c r="M130" s="6"/>
      <c r="N130" s="6" t="s">
        <v>51</v>
      </c>
      <c r="O130" s="6"/>
      <c r="P130" s="6" t="s">
        <v>27</v>
      </c>
      <c r="Q130" s="6"/>
      <c r="R130" s="1"/>
      <c r="S130" s="1"/>
      <c r="T130" s="1"/>
      <c r="U130" s="1"/>
      <c r="V130" s="1"/>
      <c r="W130" s="1"/>
      <c r="X130" s="1"/>
      <c r="Y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3.2">
      <c r="A131" s="5">
        <v>44528.670136365741</v>
      </c>
      <c r="B131" s="6"/>
      <c r="C131" s="6" t="s">
        <v>18</v>
      </c>
      <c r="D131" s="290" t="s">
        <v>19</v>
      </c>
      <c r="E131" s="6" t="s">
        <v>30</v>
      </c>
      <c r="F131" s="6" t="s">
        <v>39</v>
      </c>
      <c r="G131" s="6" t="s">
        <v>40</v>
      </c>
      <c r="H131" s="6" t="s">
        <v>33</v>
      </c>
      <c r="I131" s="6" t="s">
        <v>20</v>
      </c>
      <c r="J131" s="6"/>
      <c r="K131" s="6" t="s">
        <v>30</v>
      </c>
      <c r="L131" s="6" t="s">
        <v>20</v>
      </c>
      <c r="M131" s="6"/>
      <c r="N131" s="6" t="s">
        <v>26</v>
      </c>
      <c r="O131" s="6"/>
      <c r="P131" s="6" t="s">
        <v>34</v>
      </c>
      <c r="Q131" s="6"/>
      <c r="R131" s="1"/>
      <c r="S131" s="1"/>
      <c r="T131" s="1"/>
      <c r="U131" s="1"/>
      <c r="V131" s="1"/>
      <c r="W131" s="1"/>
      <c r="X131" s="1"/>
      <c r="Y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3.8">
      <c r="A132" s="5">
        <v>44522.965223946754</v>
      </c>
      <c r="B132" s="6"/>
      <c r="C132" s="6" t="s">
        <v>18</v>
      </c>
      <c r="D132" s="289" t="s">
        <v>62</v>
      </c>
      <c r="E132" s="6" t="s">
        <v>20</v>
      </c>
      <c r="F132" s="6" t="s">
        <v>35</v>
      </c>
      <c r="G132" s="6" t="s">
        <v>22</v>
      </c>
      <c r="H132" s="6" t="s">
        <v>42</v>
      </c>
      <c r="I132" s="6" t="s">
        <v>20</v>
      </c>
      <c r="J132" s="6" t="s">
        <v>149</v>
      </c>
      <c r="K132" s="6" t="s">
        <v>25</v>
      </c>
      <c r="L132" s="6" t="s">
        <v>20</v>
      </c>
      <c r="M132" s="6" t="s">
        <v>20</v>
      </c>
      <c r="N132" s="6" t="s">
        <v>31</v>
      </c>
      <c r="O132" s="6"/>
      <c r="P132" s="6" t="s">
        <v>34</v>
      </c>
      <c r="Q132" s="6"/>
      <c r="R132" s="1"/>
      <c r="S132" s="1"/>
      <c r="T132" s="1"/>
      <c r="U132" s="1"/>
      <c r="V132" s="1"/>
      <c r="W132" s="8"/>
      <c r="X132" s="9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3.2">
      <c r="A133" s="5">
        <v>44528.675081527777</v>
      </c>
      <c r="B133" s="6"/>
      <c r="C133" s="6" t="s">
        <v>28</v>
      </c>
      <c r="D133" s="290" t="s">
        <v>19</v>
      </c>
      <c r="E133" s="6" t="s">
        <v>20</v>
      </c>
      <c r="F133" s="6" t="s">
        <v>35</v>
      </c>
      <c r="G133" s="6" t="s">
        <v>22</v>
      </c>
      <c r="H133" s="6" t="s">
        <v>42</v>
      </c>
      <c r="I133" s="6" t="s">
        <v>20</v>
      </c>
      <c r="J133" s="6" t="s">
        <v>150</v>
      </c>
      <c r="K133" s="6" t="s">
        <v>20</v>
      </c>
      <c r="L133" s="6" t="s">
        <v>30</v>
      </c>
      <c r="M133" s="6"/>
      <c r="N133" s="6" t="s">
        <v>31</v>
      </c>
      <c r="O133" s="6"/>
      <c r="P133" s="6" t="s">
        <v>27</v>
      </c>
      <c r="Q133" s="6"/>
      <c r="R133" s="1"/>
      <c r="S133" s="1"/>
      <c r="T133" s="1"/>
      <c r="U133" s="1"/>
      <c r="V133" s="1"/>
      <c r="W133" s="1"/>
      <c r="X133" s="1"/>
      <c r="Y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3.2">
      <c r="A134" s="5">
        <v>44528.676993090281</v>
      </c>
      <c r="B134" s="6"/>
      <c r="C134" s="6" t="s">
        <v>18</v>
      </c>
      <c r="D134" s="289" t="s">
        <v>19</v>
      </c>
      <c r="E134" s="6" t="s">
        <v>30</v>
      </c>
      <c r="F134" s="6" t="s">
        <v>32</v>
      </c>
      <c r="G134" s="6" t="s">
        <v>49</v>
      </c>
      <c r="H134" s="6" t="s">
        <v>33</v>
      </c>
      <c r="I134" s="6" t="s">
        <v>30</v>
      </c>
      <c r="J134" s="6"/>
      <c r="K134" s="6" t="s">
        <v>20</v>
      </c>
      <c r="L134" s="6" t="s">
        <v>20</v>
      </c>
      <c r="M134" s="6" t="s">
        <v>20</v>
      </c>
      <c r="N134" s="6" t="s">
        <v>31</v>
      </c>
      <c r="O134" s="6"/>
      <c r="P134" s="6" t="s">
        <v>27</v>
      </c>
      <c r="Q134" s="6"/>
      <c r="R134" s="1"/>
      <c r="S134" s="1"/>
      <c r="T134" s="1"/>
      <c r="U134" s="1"/>
      <c r="V134" s="1"/>
      <c r="W134" s="1"/>
      <c r="X134" s="1"/>
      <c r="Y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3.2">
      <c r="A135" s="5">
        <v>44528.680170046297</v>
      </c>
      <c r="B135" s="6"/>
      <c r="C135" s="6" t="s">
        <v>18</v>
      </c>
      <c r="D135" s="290" t="s">
        <v>19</v>
      </c>
      <c r="E135" s="6" t="s">
        <v>30</v>
      </c>
      <c r="F135" s="6" t="s">
        <v>35</v>
      </c>
      <c r="G135" s="6" t="s">
        <v>49</v>
      </c>
      <c r="H135" s="6" t="s">
        <v>33</v>
      </c>
      <c r="I135" s="6" t="s">
        <v>20</v>
      </c>
      <c r="J135" s="6" t="s">
        <v>151</v>
      </c>
      <c r="K135" s="6" t="s">
        <v>30</v>
      </c>
      <c r="L135" s="6" t="s">
        <v>20</v>
      </c>
      <c r="M135" s="6" t="s">
        <v>20</v>
      </c>
      <c r="N135" s="6" t="s">
        <v>31</v>
      </c>
      <c r="O135" s="6"/>
      <c r="P135" s="6" t="s">
        <v>27</v>
      </c>
      <c r="Q135" s="6"/>
      <c r="R135" s="1"/>
      <c r="S135" s="1"/>
      <c r="T135" s="1"/>
      <c r="U135" s="1"/>
      <c r="V135" s="1"/>
      <c r="W135" s="1"/>
      <c r="X135" s="1"/>
      <c r="Y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3.2">
      <c r="A136" s="5">
        <v>44528.703445810184</v>
      </c>
      <c r="B136" s="6"/>
      <c r="C136" s="6" t="s">
        <v>28</v>
      </c>
      <c r="D136" s="289" t="s">
        <v>48</v>
      </c>
      <c r="E136" s="6" t="s">
        <v>20</v>
      </c>
      <c r="F136" s="6" t="s">
        <v>35</v>
      </c>
      <c r="G136" s="6" t="s">
        <v>22</v>
      </c>
      <c r="H136" s="6" t="s">
        <v>42</v>
      </c>
      <c r="I136" s="6" t="s">
        <v>30</v>
      </c>
      <c r="J136" s="6"/>
      <c r="K136" s="6" t="s">
        <v>30</v>
      </c>
      <c r="L136" s="6" t="s">
        <v>30</v>
      </c>
      <c r="M136" s="6"/>
      <c r="N136" s="6" t="s">
        <v>31</v>
      </c>
      <c r="O136" s="6"/>
      <c r="P136" s="6" t="s">
        <v>34</v>
      </c>
      <c r="Q136" s="6"/>
      <c r="R136" s="1"/>
      <c r="S136" s="1"/>
      <c r="T136" s="1"/>
      <c r="U136" s="1"/>
      <c r="V136" s="1"/>
      <c r="W136" s="1"/>
      <c r="X136" s="1"/>
      <c r="Y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3.2">
      <c r="A137" s="10">
        <v>44528.83</v>
      </c>
      <c r="B137" s="6"/>
      <c r="C137" s="6" t="s">
        <v>28</v>
      </c>
      <c r="D137" s="290" t="s">
        <v>48</v>
      </c>
      <c r="E137" s="6" t="s">
        <v>20</v>
      </c>
      <c r="F137" s="6" t="s">
        <v>32</v>
      </c>
      <c r="G137" s="6" t="s">
        <v>40</v>
      </c>
      <c r="H137" s="6" t="s">
        <v>33</v>
      </c>
      <c r="I137" s="6" t="s">
        <v>30</v>
      </c>
      <c r="J137" s="6"/>
      <c r="K137" s="6" t="s">
        <v>20</v>
      </c>
      <c r="L137" s="6" t="s">
        <v>30</v>
      </c>
      <c r="M137" s="6"/>
      <c r="N137" s="6" t="s">
        <v>51</v>
      </c>
      <c r="O137" s="6"/>
      <c r="P137" s="6" t="s">
        <v>27</v>
      </c>
      <c r="Q137" s="6"/>
      <c r="R137" s="1"/>
      <c r="S137" s="1"/>
      <c r="T137" s="1"/>
      <c r="U137" s="1"/>
      <c r="V137" s="1"/>
      <c r="W137" s="1"/>
      <c r="X137" s="1"/>
      <c r="Y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3.2">
      <c r="A138" s="5">
        <v>44522.965229421301</v>
      </c>
      <c r="B138" s="6"/>
      <c r="C138" s="6" t="s">
        <v>18</v>
      </c>
      <c r="D138" s="289" t="s">
        <v>19</v>
      </c>
      <c r="E138" s="6" t="s">
        <v>20</v>
      </c>
      <c r="F138" s="6" t="s">
        <v>32</v>
      </c>
      <c r="G138" s="6" t="s">
        <v>22</v>
      </c>
      <c r="H138" s="6" t="s">
        <v>33</v>
      </c>
      <c r="I138" s="6" t="s">
        <v>20</v>
      </c>
      <c r="J138" s="6"/>
      <c r="K138" s="6" t="s">
        <v>20</v>
      </c>
      <c r="L138" s="6" t="s">
        <v>20</v>
      </c>
      <c r="M138" s="6" t="s">
        <v>20</v>
      </c>
      <c r="N138" s="6" t="s">
        <v>31</v>
      </c>
      <c r="O138" s="6"/>
      <c r="P138" s="6" t="s">
        <v>34</v>
      </c>
      <c r="Q138" s="6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3.2">
      <c r="A139" s="5">
        <v>44522.965229895832</v>
      </c>
      <c r="B139" s="6"/>
      <c r="C139" s="6" t="s">
        <v>28</v>
      </c>
      <c r="D139" s="290" t="s">
        <v>48</v>
      </c>
      <c r="E139" s="6" t="s">
        <v>20</v>
      </c>
      <c r="F139" s="6" t="s">
        <v>35</v>
      </c>
      <c r="G139" s="6" t="s">
        <v>49</v>
      </c>
      <c r="H139" s="6" t="s">
        <v>42</v>
      </c>
      <c r="I139" s="6" t="s">
        <v>30</v>
      </c>
      <c r="J139" s="6"/>
      <c r="K139" s="6" t="s">
        <v>20</v>
      </c>
      <c r="L139" s="6" t="s">
        <v>30</v>
      </c>
      <c r="M139" s="6"/>
      <c r="N139" s="6" t="s">
        <v>31</v>
      </c>
      <c r="O139" s="6"/>
      <c r="P139" s="6" t="s">
        <v>27</v>
      </c>
      <c r="Q139" s="6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3.2">
      <c r="A140" s="5">
        <v>44522.966295300925</v>
      </c>
      <c r="B140" s="6"/>
      <c r="C140" s="6" t="s">
        <v>18</v>
      </c>
      <c r="D140" s="289" t="s">
        <v>48</v>
      </c>
      <c r="E140" s="6" t="s">
        <v>30</v>
      </c>
      <c r="F140" s="6"/>
      <c r="G140" s="6"/>
      <c r="H140" s="6"/>
      <c r="I140" s="6"/>
      <c r="J140" s="6"/>
      <c r="K140" s="6" t="s">
        <v>30</v>
      </c>
      <c r="L140" s="6" t="s">
        <v>20</v>
      </c>
      <c r="M140" s="6" t="s">
        <v>30</v>
      </c>
      <c r="N140" s="6" t="s">
        <v>31</v>
      </c>
      <c r="O140" s="6"/>
      <c r="P140" s="6" t="s">
        <v>34</v>
      </c>
      <c r="Q140" s="6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3.2">
      <c r="A141" s="5">
        <v>44522.967034409725</v>
      </c>
      <c r="B141" s="6"/>
      <c r="C141" s="6" t="s">
        <v>18</v>
      </c>
      <c r="D141" s="290" t="s">
        <v>19</v>
      </c>
      <c r="E141" s="6" t="s">
        <v>20</v>
      </c>
      <c r="F141" s="6" t="s">
        <v>35</v>
      </c>
      <c r="G141" s="6" t="s">
        <v>54</v>
      </c>
      <c r="H141" s="6" t="s">
        <v>42</v>
      </c>
      <c r="I141" s="6" t="s">
        <v>20</v>
      </c>
      <c r="J141" s="6" t="s">
        <v>152</v>
      </c>
      <c r="K141" s="6" t="s">
        <v>20</v>
      </c>
      <c r="L141" s="6" t="s">
        <v>20</v>
      </c>
      <c r="M141" s="6" t="s">
        <v>20</v>
      </c>
      <c r="N141" s="6" t="s">
        <v>31</v>
      </c>
      <c r="O141" s="6"/>
      <c r="P141" s="6" t="s">
        <v>27</v>
      </c>
      <c r="Q141" s="6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3.2">
      <c r="A142" s="5">
        <v>44522.968183402772</v>
      </c>
      <c r="B142" s="6"/>
      <c r="C142" s="6" t="s">
        <v>28</v>
      </c>
      <c r="D142" s="289" t="s">
        <v>87</v>
      </c>
      <c r="E142" s="6" t="s">
        <v>20</v>
      </c>
      <c r="F142" s="6" t="s">
        <v>39</v>
      </c>
      <c r="G142" s="6" t="s">
        <v>54</v>
      </c>
      <c r="H142" s="6" t="s">
        <v>33</v>
      </c>
      <c r="I142" s="6" t="s">
        <v>30</v>
      </c>
      <c r="J142" s="6"/>
      <c r="K142" s="6" t="s">
        <v>30</v>
      </c>
      <c r="L142" s="6" t="s">
        <v>30</v>
      </c>
      <c r="M142" s="6"/>
      <c r="N142" s="6" t="s">
        <v>31</v>
      </c>
      <c r="O142" s="6"/>
      <c r="P142" s="6" t="s">
        <v>34</v>
      </c>
      <c r="Q142" s="6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3.2">
      <c r="A143" s="5">
        <v>44522.968601562505</v>
      </c>
      <c r="B143" s="6"/>
      <c r="C143" s="6" t="s">
        <v>18</v>
      </c>
      <c r="D143" s="290" t="s">
        <v>48</v>
      </c>
      <c r="E143" s="6" t="s">
        <v>20</v>
      </c>
      <c r="F143" s="6" t="s">
        <v>35</v>
      </c>
      <c r="G143" s="6" t="s">
        <v>22</v>
      </c>
      <c r="H143" s="6" t="s">
        <v>42</v>
      </c>
      <c r="I143" s="6" t="s">
        <v>20</v>
      </c>
      <c r="J143" s="6"/>
      <c r="K143" s="6" t="s">
        <v>20</v>
      </c>
      <c r="L143" s="6" t="s">
        <v>20</v>
      </c>
      <c r="M143" s="6" t="s">
        <v>20</v>
      </c>
      <c r="N143" s="6" t="s">
        <v>31</v>
      </c>
      <c r="O143" s="6"/>
      <c r="P143" s="6" t="s">
        <v>34</v>
      </c>
      <c r="Q143" s="6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3.2">
      <c r="A144" s="5">
        <v>44522.969373020838</v>
      </c>
      <c r="B144" s="6"/>
      <c r="C144" s="6" t="s">
        <v>28</v>
      </c>
      <c r="D144" s="289" t="s">
        <v>48</v>
      </c>
      <c r="E144" s="6" t="s">
        <v>20</v>
      </c>
      <c r="F144" s="6" t="s">
        <v>35</v>
      </c>
      <c r="G144" s="6" t="s">
        <v>54</v>
      </c>
      <c r="H144" s="6" t="s">
        <v>23</v>
      </c>
      <c r="I144" s="6" t="s">
        <v>30</v>
      </c>
      <c r="J144" s="6"/>
      <c r="K144" s="6" t="s">
        <v>20</v>
      </c>
      <c r="L144" s="6" t="s">
        <v>20</v>
      </c>
      <c r="M144" s="6" t="s">
        <v>20</v>
      </c>
      <c r="N144" s="6" t="s">
        <v>31</v>
      </c>
      <c r="O144" s="6"/>
      <c r="P144" s="6" t="s">
        <v>27</v>
      </c>
      <c r="Q144" s="6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3.2">
      <c r="A145" s="5">
        <v>44522.972916331018</v>
      </c>
      <c r="B145" s="6"/>
      <c r="C145" s="6" t="s">
        <v>28</v>
      </c>
      <c r="D145" s="290" t="s">
        <v>19</v>
      </c>
      <c r="E145" s="6" t="s">
        <v>20</v>
      </c>
      <c r="F145" s="6" t="s">
        <v>39</v>
      </c>
      <c r="G145" s="6" t="s">
        <v>22</v>
      </c>
      <c r="H145" s="6" t="s">
        <v>42</v>
      </c>
      <c r="I145" s="6" t="s">
        <v>30</v>
      </c>
      <c r="J145" s="6"/>
      <c r="K145" s="6" t="s">
        <v>30</v>
      </c>
      <c r="L145" s="6" t="s">
        <v>30</v>
      </c>
      <c r="M145" s="6"/>
      <c r="N145" s="6" t="s">
        <v>31</v>
      </c>
      <c r="O145" s="6"/>
      <c r="P145" s="6" t="s">
        <v>27</v>
      </c>
      <c r="Q145" s="6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3.2">
      <c r="A146" s="5">
        <v>44522.973417835645</v>
      </c>
      <c r="B146" s="6"/>
      <c r="C146" s="6" t="s">
        <v>18</v>
      </c>
      <c r="D146" s="289" t="s">
        <v>48</v>
      </c>
      <c r="E146" s="6" t="s">
        <v>30</v>
      </c>
      <c r="F146" s="6"/>
      <c r="G146" s="6"/>
      <c r="H146" s="6" t="s">
        <v>42</v>
      </c>
      <c r="I146" s="6" t="s">
        <v>20</v>
      </c>
      <c r="J146" s="6" t="s">
        <v>153</v>
      </c>
      <c r="K146" s="6" t="s">
        <v>25</v>
      </c>
      <c r="L146" s="6" t="s">
        <v>20</v>
      </c>
      <c r="M146" s="6" t="s">
        <v>30</v>
      </c>
      <c r="N146" s="6" t="s">
        <v>31</v>
      </c>
      <c r="O146" s="6"/>
      <c r="P146" s="6" t="s">
        <v>27</v>
      </c>
      <c r="Q146" s="6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3.2">
      <c r="A147" s="5">
        <v>44522.973896249998</v>
      </c>
      <c r="B147" s="6"/>
      <c r="C147" s="6" t="s">
        <v>18</v>
      </c>
      <c r="D147" s="290" t="s">
        <v>19</v>
      </c>
      <c r="E147" s="6" t="s">
        <v>30</v>
      </c>
      <c r="F147" s="6" t="s">
        <v>148</v>
      </c>
      <c r="G147" s="6" t="s">
        <v>49</v>
      </c>
      <c r="H147" s="6" t="s">
        <v>33</v>
      </c>
      <c r="I147" s="6" t="s">
        <v>20</v>
      </c>
      <c r="J147" s="6" t="s">
        <v>154</v>
      </c>
      <c r="K147" s="6" t="s">
        <v>20</v>
      </c>
      <c r="L147" s="6" t="s">
        <v>20</v>
      </c>
      <c r="M147" s="6" t="s">
        <v>20</v>
      </c>
      <c r="N147" s="6" t="s">
        <v>26</v>
      </c>
      <c r="O147" s="6" t="s">
        <v>155</v>
      </c>
      <c r="P147" s="6" t="s">
        <v>27</v>
      </c>
      <c r="Q147" s="6" t="s">
        <v>156</v>
      </c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3.2">
      <c r="A148" s="5">
        <v>44522.977258877319</v>
      </c>
      <c r="B148" s="6"/>
      <c r="C148" s="6" t="s">
        <v>28</v>
      </c>
      <c r="D148" s="289" t="s">
        <v>19</v>
      </c>
      <c r="E148" s="6" t="s">
        <v>20</v>
      </c>
      <c r="F148" s="6" t="s">
        <v>21</v>
      </c>
      <c r="G148" s="6" t="s">
        <v>22</v>
      </c>
      <c r="H148" s="6" t="s">
        <v>63</v>
      </c>
      <c r="I148" s="6" t="s">
        <v>20</v>
      </c>
      <c r="J148" s="6" t="s">
        <v>157</v>
      </c>
      <c r="K148" s="6" t="s">
        <v>20</v>
      </c>
      <c r="L148" s="6" t="s">
        <v>30</v>
      </c>
      <c r="M148" s="6"/>
      <c r="N148" s="6" t="s">
        <v>26</v>
      </c>
      <c r="O148" s="6" t="s">
        <v>60</v>
      </c>
      <c r="P148" s="6" t="s">
        <v>27</v>
      </c>
      <c r="Q148" s="6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3.2">
      <c r="A149" s="5">
        <v>44522.977294583332</v>
      </c>
      <c r="B149" s="6"/>
      <c r="C149" s="6" t="s">
        <v>18</v>
      </c>
      <c r="D149" s="290" t="s">
        <v>48</v>
      </c>
      <c r="E149" s="6" t="s">
        <v>20</v>
      </c>
      <c r="F149" s="6" t="s">
        <v>32</v>
      </c>
      <c r="G149" s="6" t="s">
        <v>22</v>
      </c>
      <c r="H149" s="6" t="s">
        <v>36</v>
      </c>
      <c r="I149" s="6" t="s">
        <v>20</v>
      </c>
      <c r="J149" s="6" t="s">
        <v>158</v>
      </c>
      <c r="K149" s="6" t="s">
        <v>25</v>
      </c>
      <c r="L149" s="6" t="s">
        <v>30</v>
      </c>
      <c r="M149" s="6"/>
      <c r="N149" s="6" t="s">
        <v>26</v>
      </c>
      <c r="O149" s="6" t="s">
        <v>159</v>
      </c>
      <c r="P149" s="6" t="s">
        <v>27</v>
      </c>
      <c r="Q149" s="6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3.2">
      <c r="A150" s="5">
        <v>44522.977547754628</v>
      </c>
      <c r="B150" s="6"/>
      <c r="C150" s="6" t="s">
        <v>28</v>
      </c>
      <c r="D150" s="289" t="s">
        <v>48</v>
      </c>
      <c r="E150" s="6" t="s">
        <v>20</v>
      </c>
      <c r="F150" s="6" t="s">
        <v>39</v>
      </c>
      <c r="G150" s="6" t="s">
        <v>40</v>
      </c>
      <c r="H150" s="6" t="s">
        <v>33</v>
      </c>
      <c r="I150" s="6" t="s">
        <v>30</v>
      </c>
      <c r="J150" s="6"/>
      <c r="K150" s="6" t="s">
        <v>20</v>
      </c>
      <c r="L150" s="6" t="s">
        <v>30</v>
      </c>
      <c r="M150" s="6"/>
      <c r="N150" s="6" t="s">
        <v>31</v>
      </c>
      <c r="O150" s="6"/>
      <c r="P150" s="6" t="s">
        <v>27</v>
      </c>
      <c r="Q150" s="6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3.2">
      <c r="A151" s="5">
        <v>44522.978066261574</v>
      </c>
      <c r="B151" s="6"/>
      <c r="C151" s="6" t="s">
        <v>18</v>
      </c>
      <c r="D151" s="290" t="s">
        <v>19</v>
      </c>
      <c r="E151" s="6" t="s">
        <v>20</v>
      </c>
      <c r="F151" s="6" t="s">
        <v>35</v>
      </c>
      <c r="G151" s="6" t="s">
        <v>22</v>
      </c>
      <c r="H151" s="6" t="s">
        <v>42</v>
      </c>
      <c r="I151" s="6" t="s">
        <v>30</v>
      </c>
      <c r="J151" s="6"/>
      <c r="K151" s="6" t="s">
        <v>20</v>
      </c>
      <c r="L151" s="6" t="s">
        <v>20</v>
      </c>
      <c r="M151" s="6" t="s">
        <v>20</v>
      </c>
      <c r="N151" s="6" t="s">
        <v>26</v>
      </c>
      <c r="O151" s="6" t="s">
        <v>160</v>
      </c>
      <c r="P151" s="6" t="s">
        <v>27</v>
      </c>
      <c r="Q151" s="6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3.2">
      <c r="A152" s="5">
        <v>44522.978119479165</v>
      </c>
      <c r="B152" s="6"/>
      <c r="C152" s="6" t="s">
        <v>18</v>
      </c>
      <c r="D152" s="289" t="s">
        <v>19</v>
      </c>
      <c r="E152" s="6" t="s">
        <v>20</v>
      </c>
      <c r="F152" s="6" t="s">
        <v>39</v>
      </c>
      <c r="G152" s="6" t="s">
        <v>40</v>
      </c>
      <c r="H152" s="6" t="s">
        <v>33</v>
      </c>
      <c r="I152" s="6" t="s">
        <v>20</v>
      </c>
      <c r="J152" s="6"/>
      <c r="K152" s="6" t="s">
        <v>25</v>
      </c>
      <c r="L152" s="6" t="s">
        <v>30</v>
      </c>
      <c r="M152" s="6"/>
      <c r="N152" s="6" t="s">
        <v>31</v>
      </c>
      <c r="O152" s="6"/>
      <c r="P152" s="6" t="s">
        <v>27</v>
      </c>
      <c r="Q152" s="6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3.2">
      <c r="A153" s="5">
        <v>44522.978789768516</v>
      </c>
      <c r="B153" s="6"/>
      <c r="C153" s="6" t="s">
        <v>18</v>
      </c>
      <c r="D153" s="290" t="s">
        <v>48</v>
      </c>
      <c r="E153" s="6" t="s">
        <v>20</v>
      </c>
      <c r="F153" s="6" t="s">
        <v>35</v>
      </c>
      <c r="G153" s="6" t="s">
        <v>22</v>
      </c>
      <c r="H153" s="6" t="s">
        <v>33</v>
      </c>
      <c r="I153" s="6" t="s">
        <v>20</v>
      </c>
      <c r="J153" s="6" t="s">
        <v>161</v>
      </c>
      <c r="K153" s="6" t="s">
        <v>20</v>
      </c>
      <c r="L153" s="6" t="s">
        <v>30</v>
      </c>
      <c r="M153" s="6"/>
      <c r="N153" s="6" t="s">
        <v>31</v>
      </c>
      <c r="O153" s="6"/>
      <c r="P153" s="6" t="s">
        <v>52</v>
      </c>
      <c r="Q153" s="6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3.2">
      <c r="A154" s="5">
        <v>44522.978985798611</v>
      </c>
      <c r="B154" s="6"/>
      <c r="C154" s="6" t="s">
        <v>18</v>
      </c>
      <c r="D154" s="289" t="s">
        <v>87</v>
      </c>
      <c r="E154" s="6" t="s">
        <v>20</v>
      </c>
      <c r="F154" s="6" t="s">
        <v>32</v>
      </c>
      <c r="G154" s="6" t="s">
        <v>22</v>
      </c>
      <c r="H154" s="6" t="s">
        <v>33</v>
      </c>
      <c r="I154" s="6" t="s">
        <v>20</v>
      </c>
      <c r="J154" s="6" t="s">
        <v>162</v>
      </c>
      <c r="K154" s="6" t="s">
        <v>20</v>
      </c>
      <c r="L154" s="6" t="s">
        <v>20</v>
      </c>
      <c r="M154" s="6" t="s">
        <v>30</v>
      </c>
      <c r="N154" s="6" t="s">
        <v>31</v>
      </c>
      <c r="O154" s="6"/>
      <c r="P154" s="6" t="s">
        <v>27</v>
      </c>
      <c r="Q154" s="6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3.2">
      <c r="A155" s="5">
        <v>44522.979557430561</v>
      </c>
      <c r="B155" s="6"/>
      <c r="C155" s="6" t="s">
        <v>28</v>
      </c>
      <c r="D155" s="290" t="s">
        <v>19</v>
      </c>
      <c r="E155" s="6" t="s">
        <v>30</v>
      </c>
      <c r="F155" s="6"/>
      <c r="G155" s="6" t="s">
        <v>49</v>
      </c>
      <c r="H155" s="6" t="s">
        <v>33</v>
      </c>
      <c r="I155" s="6" t="s">
        <v>30</v>
      </c>
      <c r="J155" s="6"/>
      <c r="K155" s="6" t="s">
        <v>20</v>
      </c>
      <c r="L155" s="6" t="s">
        <v>30</v>
      </c>
      <c r="M155" s="6"/>
      <c r="N155" s="6" t="s">
        <v>31</v>
      </c>
      <c r="O155" s="6"/>
      <c r="P155" s="6" t="s">
        <v>34</v>
      </c>
      <c r="Q155" s="6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3.2">
      <c r="A156" s="5">
        <v>44522.979974201386</v>
      </c>
      <c r="B156" s="6"/>
      <c r="C156" s="6" t="s">
        <v>18</v>
      </c>
      <c r="D156" s="289" t="s">
        <v>48</v>
      </c>
      <c r="E156" s="6" t="s">
        <v>30</v>
      </c>
      <c r="F156" s="6"/>
      <c r="G156" s="6"/>
      <c r="H156" s="6"/>
      <c r="I156" s="6" t="s">
        <v>20</v>
      </c>
      <c r="J156" s="6" t="s">
        <v>163</v>
      </c>
      <c r="K156" s="6" t="s">
        <v>20</v>
      </c>
      <c r="L156" s="6" t="s">
        <v>20</v>
      </c>
      <c r="M156" s="6" t="s">
        <v>30</v>
      </c>
      <c r="N156" s="6" t="s">
        <v>26</v>
      </c>
      <c r="O156" s="6"/>
      <c r="P156" s="6" t="s">
        <v>34</v>
      </c>
      <c r="Q156" s="6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3.2">
      <c r="A157" s="5">
        <v>44522.98041275463</v>
      </c>
      <c r="B157" s="6"/>
      <c r="C157" s="6" t="s">
        <v>28</v>
      </c>
      <c r="D157" s="290" t="s">
        <v>48</v>
      </c>
      <c r="E157" s="6" t="s">
        <v>20</v>
      </c>
      <c r="F157" s="6" t="s">
        <v>74</v>
      </c>
      <c r="G157" s="6" t="s">
        <v>40</v>
      </c>
      <c r="H157" s="6" t="s">
        <v>33</v>
      </c>
      <c r="I157" s="6" t="s">
        <v>30</v>
      </c>
      <c r="J157" s="6"/>
      <c r="K157" s="6" t="s">
        <v>30</v>
      </c>
      <c r="L157" s="6" t="s">
        <v>30</v>
      </c>
      <c r="M157" s="6"/>
      <c r="N157" s="6" t="s">
        <v>31</v>
      </c>
      <c r="O157" s="6"/>
      <c r="P157" s="6" t="s">
        <v>34</v>
      </c>
      <c r="Q157" s="6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3.2">
      <c r="A158" s="5">
        <v>44522.98070994213</v>
      </c>
      <c r="B158" s="6"/>
      <c r="C158" s="6" t="s">
        <v>18</v>
      </c>
      <c r="D158" s="289" t="s">
        <v>48</v>
      </c>
      <c r="E158" s="6" t="s">
        <v>20</v>
      </c>
      <c r="F158" s="6" t="s">
        <v>35</v>
      </c>
      <c r="G158" s="6" t="s">
        <v>54</v>
      </c>
      <c r="H158" s="6" t="s">
        <v>42</v>
      </c>
      <c r="I158" s="6" t="s">
        <v>20</v>
      </c>
      <c r="J158" s="6"/>
      <c r="K158" s="6" t="s">
        <v>25</v>
      </c>
      <c r="L158" s="6" t="s">
        <v>20</v>
      </c>
      <c r="M158" s="6" t="s">
        <v>20</v>
      </c>
      <c r="N158" s="6" t="s">
        <v>31</v>
      </c>
      <c r="O158" s="6"/>
      <c r="P158" s="6" t="s">
        <v>27</v>
      </c>
      <c r="Q158" s="6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3.2">
      <c r="A159" s="5">
        <v>44522.983785960649</v>
      </c>
      <c r="B159" s="6"/>
      <c r="C159" s="6" t="s">
        <v>18</v>
      </c>
      <c r="D159" s="290" t="s">
        <v>19</v>
      </c>
      <c r="E159" s="6" t="s">
        <v>20</v>
      </c>
      <c r="F159" s="6" t="s">
        <v>39</v>
      </c>
      <c r="G159" s="6" t="s">
        <v>22</v>
      </c>
      <c r="H159" s="6" t="s">
        <v>33</v>
      </c>
      <c r="I159" s="6" t="s">
        <v>30</v>
      </c>
      <c r="J159" s="6"/>
      <c r="K159" s="6" t="s">
        <v>25</v>
      </c>
      <c r="L159" s="6" t="s">
        <v>30</v>
      </c>
      <c r="M159" s="6"/>
      <c r="N159" s="6" t="s">
        <v>31</v>
      </c>
      <c r="O159" s="6"/>
      <c r="P159" s="6" t="s">
        <v>27</v>
      </c>
      <c r="Q159" s="6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3.2">
      <c r="A160" s="5">
        <v>44522.988168275464</v>
      </c>
      <c r="B160" s="6"/>
      <c r="C160" s="6" t="s">
        <v>18</v>
      </c>
      <c r="D160" s="289" t="s">
        <v>48</v>
      </c>
      <c r="E160" s="6" t="s">
        <v>20</v>
      </c>
      <c r="F160" s="6" t="s">
        <v>32</v>
      </c>
      <c r="G160" s="6" t="s">
        <v>40</v>
      </c>
      <c r="H160" s="6" t="s">
        <v>33</v>
      </c>
      <c r="I160" s="6" t="s">
        <v>20</v>
      </c>
      <c r="J160" s="6" t="s">
        <v>164</v>
      </c>
      <c r="K160" s="6" t="s">
        <v>20</v>
      </c>
      <c r="L160" s="6" t="s">
        <v>30</v>
      </c>
      <c r="M160" s="6"/>
      <c r="N160" s="6" t="s">
        <v>31</v>
      </c>
      <c r="O160" s="6"/>
      <c r="P160" s="6" t="s">
        <v>34</v>
      </c>
      <c r="Q160" s="6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3.2">
      <c r="A161" s="5">
        <v>44522.98834600694</v>
      </c>
      <c r="B161" s="6"/>
      <c r="C161" s="6" t="s">
        <v>28</v>
      </c>
      <c r="D161" s="290" t="s">
        <v>19</v>
      </c>
      <c r="E161" s="6" t="s">
        <v>20</v>
      </c>
      <c r="F161" s="6" t="s">
        <v>39</v>
      </c>
      <c r="G161" s="6" t="s">
        <v>40</v>
      </c>
      <c r="H161" s="6" t="s">
        <v>33</v>
      </c>
      <c r="I161" s="6" t="s">
        <v>30</v>
      </c>
      <c r="J161" s="6"/>
      <c r="K161" s="6" t="s">
        <v>20</v>
      </c>
      <c r="L161" s="6" t="s">
        <v>30</v>
      </c>
      <c r="M161" s="6"/>
      <c r="N161" s="6" t="s">
        <v>31</v>
      </c>
      <c r="O161" s="6"/>
      <c r="P161" s="6" t="s">
        <v>27</v>
      </c>
      <c r="Q161" s="6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3.2">
      <c r="A162" s="5">
        <v>44522.989498703704</v>
      </c>
      <c r="B162" s="6"/>
      <c r="C162" s="6" t="s">
        <v>18</v>
      </c>
      <c r="D162" s="289" t="s">
        <v>19</v>
      </c>
      <c r="E162" s="6" t="s">
        <v>20</v>
      </c>
      <c r="F162" s="6" t="s">
        <v>35</v>
      </c>
      <c r="G162" s="6" t="s">
        <v>22</v>
      </c>
      <c r="H162" s="6" t="s">
        <v>42</v>
      </c>
      <c r="I162" s="6"/>
      <c r="J162" s="6"/>
      <c r="K162" s="6" t="s">
        <v>20</v>
      </c>
      <c r="L162" s="6" t="s">
        <v>20</v>
      </c>
      <c r="M162" s="6" t="s">
        <v>20</v>
      </c>
      <c r="N162" s="6" t="s">
        <v>31</v>
      </c>
      <c r="O162" s="6"/>
      <c r="P162" s="6" t="s">
        <v>27</v>
      </c>
      <c r="Q162" s="6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3.2">
      <c r="A163" s="5">
        <v>44522.995175856486</v>
      </c>
      <c r="B163" s="6"/>
      <c r="C163" s="6" t="s">
        <v>28</v>
      </c>
      <c r="D163" s="290" t="s">
        <v>48</v>
      </c>
      <c r="E163" s="6" t="s">
        <v>20</v>
      </c>
      <c r="F163" s="6" t="s">
        <v>39</v>
      </c>
      <c r="G163" s="6" t="s">
        <v>22</v>
      </c>
      <c r="H163" s="6" t="s">
        <v>33</v>
      </c>
      <c r="I163" s="6" t="s">
        <v>30</v>
      </c>
      <c r="J163" s="6"/>
      <c r="K163" s="6" t="s">
        <v>25</v>
      </c>
      <c r="L163" s="6" t="s">
        <v>30</v>
      </c>
      <c r="M163" s="6"/>
      <c r="N163" s="6" t="s">
        <v>31</v>
      </c>
      <c r="O163" s="6"/>
      <c r="P163" s="6" t="s">
        <v>34</v>
      </c>
      <c r="Q163" s="6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3.2">
      <c r="A164" s="5">
        <v>44522.995799884258</v>
      </c>
      <c r="B164" s="6"/>
      <c r="C164" s="6" t="s">
        <v>28</v>
      </c>
      <c r="D164" s="289" t="s">
        <v>48</v>
      </c>
      <c r="E164" s="6" t="s">
        <v>20</v>
      </c>
      <c r="F164" s="6" t="s">
        <v>32</v>
      </c>
      <c r="G164" s="6" t="s">
        <v>40</v>
      </c>
      <c r="H164" s="6" t="s">
        <v>33</v>
      </c>
      <c r="I164" s="6" t="s">
        <v>20</v>
      </c>
      <c r="J164" s="6" t="s">
        <v>165</v>
      </c>
      <c r="K164" s="6" t="s">
        <v>30</v>
      </c>
      <c r="L164" s="6" t="s">
        <v>30</v>
      </c>
      <c r="M164" s="6"/>
      <c r="N164" s="6" t="s">
        <v>31</v>
      </c>
      <c r="O164" s="6"/>
      <c r="P164" s="6" t="s">
        <v>27</v>
      </c>
      <c r="Q164" s="6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3.2">
      <c r="A165" s="5">
        <v>44523.001793055555</v>
      </c>
      <c r="B165" s="6"/>
      <c r="C165" s="6" t="s">
        <v>18</v>
      </c>
      <c r="D165" s="290" t="s">
        <v>48</v>
      </c>
      <c r="E165" s="6" t="s">
        <v>20</v>
      </c>
      <c r="F165" s="6" t="s">
        <v>148</v>
      </c>
      <c r="G165" s="6" t="s">
        <v>54</v>
      </c>
      <c r="H165" s="6" t="s">
        <v>33</v>
      </c>
      <c r="I165" s="6" t="s">
        <v>20</v>
      </c>
      <c r="J165" s="6" t="s">
        <v>166</v>
      </c>
      <c r="K165" s="6" t="s">
        <v>20</v>
      </c>
      <c r="L165" s="6" t="s">
        <v>20</v>
      </c>
      <c r="M165" s="6" t="s">
        <v>30</v>
      </c>
      <c r="N165" s="6" t="s">
        <v>26</v>
      </c>
      <c r="O165" s="6" t="s">
        <v>60</v>
      </c>
      <c r="P165" s="6" t="s">
        <v>27</v>
      </c>
      <c r="Q165" s="6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3.2">
      <c r="A166" s="5">
        <v>44523.001940497685</v>
      </c>
      <c r="B166" s="6"/>
      <c r="C166" s="6" t="s">
        <v>18</v>
      </c>
      <c r="D166" s="289" t="s">
        <v>19</v>
      </c>
      <c r="E166" s="6" t="s">
        <v>20</v>
      </c>
      <c r="F166" s="6" t="s">
        <v>39</v>
      </c>
      <c r="G166" s="6" t="s">
        <v>54</v>
      </c>
      <c r="H166" s="6" t="s">
        <v>63</v>
      </c>
      <c r="I166" s="6" t="s">
        <v>20</v>
      </c>
      <c r="J166" s="6"/>
      <c r="K166" s="6" t="s">
        <v>20</v>
      </c>
      <c r="L166" s="6" t="s">
        <v>20</v>
      </c>
      <c r="M166" s="6" t="s">
        <v>20</v>
      </c>
      <c r="N166" s="6" t="s">
        <v>31</v>
      </c>
      <c r="O166" s="6"/>
      <c r="P166" s="6" t="s">
        <v>27</v>
      </c>
      <c r="Q166" s="6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3.2">
      <c r="A167" s="5">
        <v>44523.002034421297</v>
      </c>
      <c r="B167" s="6"/>
      <c r="C167" s="6" t="s">
        <v>18</v>
      </c>
      <c r="D167" s="290" t="s">
        <v>48</v>
      </c>
      <c r="E167" s="6" t="s">
        <v>20</v>
      </c>
      <c r="F167" s="6" t="s">
        <v>39</v>
      </c>
      <c r="G167" s="6" t="s">
        <v>49</v>
      </c>
      <c r="H167" s="6" t="s">
        <v>33</v>
      </c>
      <c r="I167" s="6" t="s">
        <v>30</v>
      </c>
      <c r="J167" s="6"/>
      <c r="K167" s="6" t="s">
        <v>20</v>
      </c>
      <c r="L167" s="6" t="s">
        <v>30</v>
      </c>
      <c r="M167" s="6"/>
      <c r="N167" s="6" t="s">
        <v>31</v>
      </c>
      <c r="O167" s="6"/>
      <c r="P167" s="6" t="s">
        <v>27</v>
      </c>
      <c r="Q167" s="6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3.2">
      <c r="A168" s="5">
        <v>44523.004756168986</v>
      </c>
      <c r="B168" s="6"/>
      <c r="C168" s="6" t="s">
        <v>18</v>
      </c>
      <c r="D168" s="289" t="s">
        <v>48</v>
      </c>
      <c r="E168" s="6" t="s">
        <v>20</v>
      </c>
      <c r="F168" s="6" t="s">
        <v>39</v>
      </c>
      <c r="G168" s="6" t="s">
        <v>22</v>
      </c>
      <c r="H168" s="6" t="s">
        <v>33</v>
      </c>
      <c r="I168" s="6" t="s">
        <v>20</v>
      </c>
      <c r="J168" s="6" t="s">
        <v>85</v>
      </c>
      <c r="K168" s="6" t="s">
        <v>25</v>
      </c>
      <c r="L168" s="6" t="s">
        <v>20</v>
      </c>
      <c r="M168" s="6" t="s">
        <v>30</v>
      </c>
      <c r="N168" s="6" t="s">
        <v>26</v>
      </c>
      <c r="O168" s="6" t="s">
        <v>167</v>
      </c>
      <c r="P168" s="6" t="s">
        <v>52</v>
      </c>
      <c r="Q168" s="6" t="s">
        <v>168</v>
      </c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3.2">
      <c r="A169" s="5">
        <v>44523.00878802083</v>
      </c>
      <c r="B169" s="6"/>
      <c r="C169" s="6" t="s">
        <v>28</v>
      </c>
      <c r="D169" s="290" t="s">
        <v>19</v>
      </c>
      <c r="E169" s="6" t="s">
        <v>20</v>
      </c>
      <c r="F169" s="6" t="s">
        <v>35</v>
      </c>
      <c r="G169" s="6" t="s">
        <v>54</v>
      </c>
      <c r="H169" s="6" t="s">
        <v>23</v>
      </c>
      <c r="I169" s="6" t="s">
        <v>30</v>
      </c>
      <c r="J169" s="6"/>
      <c r="K169" s="6" t="s">
        <v>30</v>
      </c>
      <c r="L169" s="6" t="s">
        <v>20</v>
      </c>
      <c r="M169" s="6" t="s">
        <v>30</v>
      </c>
      <c r="N169" s="6" t="s">
        <v>31</v>
      </c>
      <c r="O169" s="6"/>
      <c r="P169" s="6" t="s">
        <v>27</v>
      </c>
      <c r="Q169" s="6" t="s">
        <v>169</v>
      </c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3.2">
      <c r="A170" s="5">
        <v>44523.009294108793</v>
      </c>
      <c r="B170" s="6"/>
      <c r="C170" s="6" t="s">
        <v>28</v>
      </c>
      <c r="D170" s="289" t="s">
        <v>48</v>
      </c>
      <c r="E170" s="6" t="s">
        <v>20</v>
      </c>
      <c r="F170" s="6" t="s">
        <v>132</v>
      </c>
      <c r="G170" s="6" t="s">
        <v>22</v>
      </c>
      <c r="H170" s="6" t="s">
        <v>33</v>
      </c>
      <c r="I170" s="6" t="s">
        <v>30</v>
      </c>
      <c r="J170" s="6"/>
      <c r="K170" s="6" t="s">
        <v>25</v>
      </c>
      <c r="L170" s="6" t="s">
        <v>30</v>
      </c>
      <c r="M170" s="6"/>
      <c r="N170" s="6" t="s">
        <v>31</v>
      </c>
      <c r="O170" s="6"/>
      <c r="P170" s="6" t="s">
        <v>27</v>
      </c>
      <c r="Q170" s="6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3.2">
      <c r="A171" s="5">
        <v>44523.012355208339</v>
      </c>
      <c r="B171" s="6"/>
      <c r="C171" s="6" t="s">
        <v>18</v>
      </c>
      <c r="D171" s="290" t="s">
        <v>48</v>
      </c>
      <c r="E171" s="6" t="s">
        <v>20</v>
      </c>
      <c r="F171" s="6" t="s">
        <v>89</v>
      </c>
      <c r="G171" s="6" t="s">
        <v>54</v>
      </c>
      <c r="H171" s="6" t="s">
        <v>42</v>
      </c>
      <c r="I171" s="6" t="s">
        <v>20</v>
      </c>
      <c r="J171" s="6"/>
      <c r="K171" s="6" t="s">
        <v>20</v>
      </c>
      <c r="L171" s="6" t="s">
        <v>20</v>
      </c>
      <c r="M171" s="6" t="s">
        <v>20</v>
      </c>
      <c r="N171" s="6" t="s">
        <v>31</v>
      </c>
      <c r="O171" s="6"/>
      <c r="P171" s="6" t="s">
        <v>27</v>
      </c>
      <c r="Q171" s="6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3.2">
      <c r="A172" s="5">
        <v>44523.01573694445</v>
      </c>
      <c r="B172" s="6"/>
      <c r="C172" s="6" t="s">
        <v>18</v>
      </c>
      <c r="D172" s="289" t="s">
        <v>48</v>
      </c>
      <c r="E172" s="6" t="s">
        <v>30</v>
      </c>
      <c r="F172" s="6" t="s">
        <v>35</v>
      </c>
      <c r="G172" s="6" t="s">
        <v>22</v>
      </c>
      <c r="H172" s="6" t="s">
        <v>42</v>
      </c>
      <c r="I172" s="6" t="s">
        <v>20</v>
      </c>
      <c r="J172" s="6"/>
      <c r="K172" s="6" t="s">
        <v>20</v>
      </c>
      <c r="L172" s="6" t="s">
        <v>20</v>
      </c>
      <c r="M172" s="6" t="s">
        <v>20</v>
      </c>
      <c r="N172" s="6" t="s">
        <v>31</v>
      </c>
      <c r="O172" s="6"/>
      <c r="P172" s="6" t="s">
        <v>27</v>
      </c>
      <c r="Q172" s="6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3.2">
      <c r="A173" s="5">
        <v>44523.018139548614</v>
      </c>
      <c r="B173" s="6"/>
      <c r="C173" s="6" t="s">
        <v>28</v>
      </c>
      <c r="D173" s="290" t="s">
        <v>48</v>
      </c>
      <c r="E173" s="6" t="s">
        <v>20</v>
      </c>
      <c r="F173" s="6" t="s">
        <v>39</v>
      </c>
      <c r="G173" s="6" t="s">
        <v>22</v>
      </c>
      <c r="H173" s="6" t="s">
        <v>42</v>
      </c>
      <c r="I173" s="6" t="s">
        <v>30</v>
      </c>
      <c r="J173" s="6"/>
      <c r="K173" s="6" t="s">
        <v>25</v>
      </c>
      <c r="L173" s="6" t="s">
        <v>30</v>
      </c>
      <c r="M173" s="6" t="s">
        <v>30</v>
      </c>
      <c r="N173" s="6" t="s">
        <v>31</v>
      </c>
      <c r="O173" s="6"/>
      <c r="P173" s="6" t="s">
        <v>52</v>
      </c>
      <c r="Q173" s="6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3.2">
      <c r="A174" s="5">
        <v>44523.018377835644</v>
      </c>
      <c r="B174" s="6"/>
      <c r="C174" s="6" t="s">
        <v>18</v>
      </c>
      <c r="D174" s="289" t="s">
        <v>48</v>
      </c>
      <c r="E174" s="6" t="s">
        <v>20</v>
      </c>
      <c r="F174" s="6" t="s">
        <v>35</v>
      </c>
      <c r="G174" s="6" t="s">
        <v>22</v>
      </c>
      <c r="H174" s="6" t="s">
        <v>42</v>
      </c>
      <c r="I174" s="6" t="s">
        <v>20</v>
      </c>
      <c r="J174" s="6"/>
      <c r="K174" s="6" t="s">
        <v>20</v>
      </c>
      <c r="L174" s="6" t="s">
        <v>20</v>
      </c>
      <c r="M174" s="6" t="s">
        <v>20</v>
      </c>
      <c r="N174" s="6" t="s">
        <v>31</v>
      </c>
      <c r="O174" s="6"/>
      <c r="P174" s="6" t="s">
        <v>27</v>
      </c>
      <c r="Q174" s="6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3.2">
      <c r="A175" s="5">
        <v>44523.018485416665</v>
      </c>
      <c r="B175" s="6"/>
      <c r="C175" s="6" t="s">
        <v>18</v>
      </c>
      <c r="D175" s="290" t="s">
        <v>48</v>
      </c>
      <c r="E175" s="6" t="s">
        <v>20</v>
      </c>
      <c r="F175" s="6" t="s">
        <v>21</v>
      </c>
      <c r="G175" s="6" t="s">
        <v>40</v>
      </c>
      <c r="H175" s="6" t="s">
        <v>33</v>
      </c>
      <c r="I175" s="6" t="s">
        <v>20</v>
      </c>
      <c r="J175" s="6"/>
      <c r="K175" s="6" t="s">
        <v>25</v>
      </c>
      <c r="L175" s="6" t="s">
        <v>20</v>
      </c>
      <c r="M175" s="6" t="s">
        <v>30</v>
      </c>
      <c r="N175" s="6" t="s">
        <v>26</v>
      </c>
      <c r="O175" s="6"/>
      <c r="P175" s="6" t="s">
        <v>27</v>
      </c>
      <c r="Q175" s="6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3.2">
      <c r="A176" s="5">
        <v>44523.01884157407</v>
      </c>
      <c r="B176" s="6"/>
      <c r="C176" s="6" t="s">
        <v>18</v>
      </c>
      <c r="D176" s="289" t="s">
        <v>48</v>
      </c>
      <c r="E176" s="6" t="s">
        <v>30</v>
      </c>
      <c r="F176" s="6"/>
      <c r="G176" s="6" t="s">
        <v>40</v>
      </c>
      <c r="H176" s="6" t="s">
        <v>42</v>
      </c>
      <c r="I176" s="6" t="s">
        <v>30</v>
      </c>
      <c r="J176" s="6"/>
      <c r="K176" s="6" t="s">
        <v>20</v>
      </c>
      <c r="L176" s="6" t="s">
        <v>30</v>
      </c>
      <c r="M176" s="6"/>
      <c r="N176" s="6" t="s">
        <v>31</v>
      </c>
      <c r="O176" s="6"/>
      <c r="P176" s="6" t="s">
        <v>27</v>
      </c>
      <c r="Q176" s="6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3.2">
      <c r="A177" s="5">
        <v>44523.020056099536</v>
      </c>
      <c r="B177" s="6"/>
      <c r="C177" s="6" t="s">
        <v>18</v>
      </c>
      <c r="D177" s="290" t="s">
        <v>19</v>
      </c>
      <c r="E177" s="6" t="s">
        <v>20</v>
      </c>
      <c r="F177" s="6" t="s">
        <v>35</v>
      </c>
      <c r="G177" s="6" t="s">
        <v>22</v>
      </c>
      <c r="H177" s="6" t="s">
        <v>42</v>
      </c>
      <c r="I177" s="6" t="s">
        <v>20</v>
      </c>
      <c r="J177" s="6" t="s">
        <v>170</v>
      </c>
      <c r="K177" s="6" t="s">
        <v>25</v>
      </c>
      <c r="L177" s="6" t="s">
        <v>20</v>
      </c>
      <c r="M177" s="6" t="s">
        <v>20</v>
      </c>
      <c r="N177" s="6" t="s">
        <v>31</v>
      </c>
      <c r="O177" s="6"/>
      <c r="P177" s="6" t="s">
        <v>27</v>
      </c>
      <c r="Q177" s="6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3.2">
      <c r="A178" s="5">
        <v>44523.039036921298</v>
      </c>
      <c r="B178" s="6"/>
      <c r="C178" s="6" t="s">
        <v>28</v>
      </c>
      <c r="D178" s="289" t="s">
        <v>19</v>
      </c>
      <c r="E178" s="6" t="s">
        <v>20</v>
      </c>
      <c r="F178" s="6" t="s">
        <v>74</v>
      </c>
      <c r="G178" s="6" t="s">
        <v>40</v>
      </c>
      <c r="H178" s="6" t="s">
        <v>33</v>
      </c>
      <c r="I178" s="6" t="s">
        <v>30</v>
      </c>
      <c r="J178" s="6"/>
      <c r="K178" s="6" t="s">
        <v>25</v>
      </c>
      <c r="L178" s="6" t="s">
        <v>30</v>
      </c>
      <c r="M178" s="6"/>
      <c r="N178" s="6" t="s">
        <v>31</v>
      </c>
      <c r="O178" s="6"/>
      <c r="P178" s="6" t="s">
        <v>27</v>
      </c>
      <c r="Q178" s="6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3.2">
      <c r="A179" s="5">
        <v>44523.04227179398</v>
      </c>
      <c r="B179" s="6"/>
      <c r="C179" s="6" t="s">
        <v>28</v>
      </c>
      <c r="D179" s="290" t="s">
        <v>48</v>
      </c>
      <c r="E179" s="6" t="s">
        <v>20</v>
      </c>
      <c r="F179" s="6" t="s">
        <v>35</v>
      </c>
      <c r="G179" s="6" t="s">
        <v>22</v>
      </c>
      <c r="H179" s="6" t="s">
        <v>42</v>
      </c>
      <c r="I179" s="6" t="s">
        <v>30</v>
      </c>
      <c r="J179" s="6"/>
      <c r="K179" s="6" t="s">
        <v>30</v>
      </c>
      <c r="L179" s="6" t="s">
        <v>30</v>
      </c>
      <c r="M179" s="6"/>
      <c r="N179" s="6" t="s">
        <v>31</v>
      </c>
      <c r="O179" s="6"/>
      <c r="P179" s="6" t="s">
        <v>34</v>
      </c>
      <c r="Q179" s="6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3.2">
      <c r="A180" s="5">
        <v>44523.042871620375</v>
      </c>
      <c r="B180" s="6"/>
      <c r="C180" s="6" t="s">
        <v>28</v>
      </c>
      <c r="D180" s="289" t="s">
        <v>48</v>
      </c>
      <c r="E180" s="6" t="s">
        <v>20</v>
      </c>
      <c r="F180" s="6" t="s">
        <v>39</v>
      </c>
      <c r="G180" s="6"/>
      <c r="H180" s="6" t="s">
        <v>33</v>
      </c>
      <c r="I180" s="6" t="s">
        <v>30</v>
      </c>
      <c r="J180" s="6"/>
      <c r="K180" s="6" t="s">
        <v>30</v>
      </c>
      <c r="L180" s="6" t="s">
        <v>30</v>
      </c>
      <c r="M180" s="6"/>
      <c r="N180" s="6" t="s">
        <v>31</v>
      </c>
      <c r="O180" s="6"/>
      <c r="P180" s="6" t="s">
        <v>27</v>
      </c>
      <c r="Q180" s="6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3.2">
      <c r="A181" s="5">
        <v>44523.046027557866</v>
      </c>
      <c r="B181" s="6"/>
      <c r="C181" s="6" t="s">
        <v>18</v>
      </c>
      <c r="D181" s="290" t="s">
        <v>19</v>
      </c>
      <c r="E181" s="6" t="s">
        <v>20</v>
      </c>
      <c r="F181" s="6" t="s">
        <v>83</v>
      </c>
      <c r="G181" s="6" t="s">
        <v>22</v>
      </c>
      <c r="H181" s="6" t="s">
        <v>42</v>
      </c>
      <c r="I181" s="6" t="s">
        <v>20</v>
      </c>
      <c r="J181" s="6"/>
      <c r="K181" s="6" t="s">
        <v>20</v>
      </c>
      <c r="L181" s="6" t="s">
        <v>20</v>
      </c>
      <c r="M181" s="6" t="s">
        <v>20</v>
      </c>
      <c r="N181" s="6" t="s">
        <v>26</v>
      </c>
      <c r="O181" s="6" t="s">
        <v>171</v>
      </c>
      <c r="P181" s="6" t="s">
        <v>34</v>
      </c>
      <c r="Q181" s="6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3.2">
      <c r="A182" s="5">
        <v>44523.071307025464</v>
      </c>
      <c r="B182" s="6"/>
      <c r="C182" s="6" t="s">
        <v>18</v>
      </c>
      <c r="D182" s="289" t="s">
        <v>19</v>
      </c>
      <c r="E182" s="6" t="s">
        <v>20</v>
      </c>
      <c r="F182" s="6" t="s">
        <v>35</v>
      </c>
      <c r="G182" s="6" t="s">
        <v>40</v>
      </c>
      <c r="H182" s="6" t="s">
        <v>33</v>
      </c>
      <c r="I182" s="6" t="s">
        <v>20</v>
      </c>
      <c r="J182" s="6"/>
      <c r="K182" s="6" t="s">
        <v>20</v>
      </c>
      <c r="L182" s="6" t="s">
        <v>20</v>
      </c>
      <c r="M182" s="6" t="s">
        <v>30</v>
      </c>
      <c r="N182" s="6" t="s">
        <v>26</v>
      </c>
      <c r="O182" s="6"/>
      <c r="P182" s="6" t="s">
        <v>34</v>
      </c>
      <c r="Q182" s="6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3.2">
      <c r="A183" s="5">
        <v>44523.074166805556</v>
      </c>
      <c r="B183" s="6"/>
      <c r="C183" s="6" t="s">
        <v>18</v>
      </c>
      <c r="D183" s="290" t="s">
        <v>48</v>
      </c>
      <c r="E183" s="6" t="s">
        <v>20</v>
      </c>
      <c r="F183" s="6" t="s">
        <v>35</v>
      </c>
      <c r="G183" s="6" t="s">
        <v>40</v>
      </c>
      <c r="H183" s="6" t="s">
        <v>33</v>
      </c>
      <c r="I183" s="6"/>
      <c r="J183" s="6"/>
      <c r="K183" s="6" t="s">
        <v>20</v>
      </c>
      <c r="L183" s="6" t="s">
        <v>20</v>
      </c>
      <c r="M183" s="6" t="s">
        <v>20</v>
      </c>
      <c r="N183" s="6" t="s">
        <v>31</v>
      </c>
      <c r="O183" s="6"/>
      <c r="P183" s="6" t="s">
        <v>34</v>
      </c>
      <c r="Q183" s="6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3.2">
      <c r="A184" s="5">
        <v>44523.095351157404</v>
      </c>
      <c r="B184" s="6"/>
      <c r="C184" s="6" t="s">
        <v>28</v>
      </c>
      <c r="D184" s="289" t="s">
        <v>48</v>
      </c>
      <c r="E184" s="6" t="s">
        <v>20</v>
      </c>
      <c r="F184" s="6" t="s">
        <v>82</v>
      </c>
      <c r="G184" s="6" t="s">
        <v>22</v>
      </c>
      <c r="H184" s="6" t="s">
        <v>33</v>
      </c>
      <c r="I184" s="6" t="s">
        <v>30</v>
      </c>
      <c r="J184" s="6"/>
      <c r="K184" s="6" t="s">
        <v>25</v>
      </c>
      <c r="L184" s="6" t="s">
        <v>30</v>
      </c>
      <c r="M184" s="6"/>
      <c r="N184" s="6" t="s">
        <v>51</v>
      </c>
      <c r="O184" s="6"/>
      <c r="P184" s="6" t="s">
        <v>27</v>
      </c>
      <c r="Q184" s="6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3.2">
      <c r="A185" s="5">
        <v>44523.273542291667</v>
      </c>
      <c r="B185" s="6"/>
      <c r="C185" s="6" t="s">
        <v>28</v>
      </c>
      <c r="D185" s="290" t="s">
        <v>19</v>
      </c>
      <c r="E185" s="6" t="s">
        <v>20</v>
      </c>
      <c r="F185" s="6" t="s">
        <v>35</v>
      </c>
      <c r="G185" s="6" t="s">
        <v>54</v>
      </c>
      <c r="H185" s="6" t="s">
        <v>42</v>
      </c>
      <c r="I185" s="6" t="s">
        <v>30</v>
      </c>
      <c r="J185" s="6"/>
      <c r="K185" s="6" t="s">
        <v>20</v>
      </c>
      <c r="L185" s="6" t="s">
        <v>30</v>
      </c>
      <c r="M185" s="6"/>
      <c r="N185" s="6" t="s">
        <v>31</v>
      </c>
      <c r="O185" s="6"/>
      <c r="P185" s="6" t="s">
        <v>27</v>
      </c>
      <c r="Q185" s="6" t="s">
        <v>172</v>
      </c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3.2">
      <c r="A186" s="5">
        <v>44523.285449583331</v>
      </c>
      <c r="B186" s="6"/>
      <c r="C186" s="6" t="s">
        <v>28</v>
      </c>
      <c r="D186" s="289" t="s">
        <v>19</v>
      </c>
      <c r="E186" s="6" t="s">
        <v>20</v>
      </c>
      <c r="F186" s="6" t="s">
        <v>39</v>
      </c>
      <c r="G186" s="6" t="s">
        <v>22</v>
      </c>
      <c r="H186" s="6" t="s">
        <v>33</v>
      </c>
      <c r="I186" s="6" t="s">
        <v>30</v>
      </c>
      <c r="J186" s="6"/>
      <c r="K186" s="6" t="s">
        <v>25</v>
      </c>
      <c r="L186" s="6" t="s">
        <v>30</v>
      </c>
      <c r="M186" s="6"/>
      <c r="N186" s="6" t="s">
        <v>31</v>
      </c>
      <c r="O186" s="6"/>
      <c r="P186" s="6" t="s">
        <v>27</v>
      </c>
      <c r="Q186" s="6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3.2">
      <c r="A187" s="5">
        <v>44523.308254907402</v>
      </c>
      <c r="B187" s="6"/>
      <c r="C187" s="6" t="s">
        <v>18</v>
      </c>
      <c r="D187" s="290" t="s">
        <v>19</v>
      </c>
      <c r="E187" s="6" t="s">
        <v>20</v>
      </c>
      <c r="F187" s="6" t="s">
        <v>35</v>
      </c>
      <c r="G187" s="6" t="s">
        <v>22</v>
      </c>
      <c r="H187" s="6" t="s">
        <v>42</v>
      </c>
      <c r="I187" s="6" t="s">
        <v>20</v>
      </c>
      <c r="J187" s="6"/>
      <c r="K187" s="6" t="s">
        <v>25</v>
      </c>
      <c r="L187" s="6" t="s">
        <v>20</v>
      </c>
      <c r="M187" s="6" t="s">
        <v>20</v>
      </c>
      <c r="N187" s="6" t="s">
        <v>31</v>
      </c>
      <c r="O187" s="6"/>
      <c r="P187" s="6" t="s">
        <v>52</v>
      </c>
      <c r="Q187" s="6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3.2">
      <c r="A188" s="5">
        <v>44523.315758958328</v>
      </c>
      <c r="B188" s="6"/>
      <c r="C188" s="6" t="s">
        <v>18</v>
      </c>
      <c r="D188" s="289" t="s">
        <v>87</v>
      </c>
      <c r="E188" s="6" t="s">
        <v>20</v>
      </c>
      <c r="F188" s="6" t="s">
        <v>39</v>
      </c>
      <c r="G188" s="6" t="s">
        <v>40</v>
      </c>
      <c r="H188" s="6" t="s">
        <v>33</v>
      </c>
      <c r="I188" s="6" t="s">
        <v>20</v>
      </c>
      <c r="J188" s="6" t="s">
        <v>173</v>
      </c>
      <c r="K188" s="6" t="s">
        <v>25</v>
      </c>
      <c r="L188" s="6" t="s">
        <v>20</v>
      </c>
      <c r="M188" s="6" t="s">
        <v>20</v>
      </c>
      <c r="N188" s="6" t="s">
        <v>26</v>
      </c>
      <c r="O188" s="6"/>
      <c r="P188" s="6" t="s">
        <v>34</v>
      </c>
      <c r="Q188" s="6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3.2">
      <c r="A189" s="5">
        <v>44523.351925636569</v>
      </c>
      <c r="B189" s="6"/>
      <c r="C189" s="6" t="s">
        <v>18</v>
      </c>
      <c r="D189" s="290" t="s">
        <v>19</v>
      </c>
      <c r="E189" s="6" t="s">
        <v>20</v>
      </c>
      <c r="F189" s="6" t="s">
        <v>35</v>
      </c>
      <c r="G189" s="6" t="s">
        <v>40</v>
      </c>
      <c r="H189" s="6" t="s">
        <v>42</v>
      </c>
      <c r="I189" s="6" t="s">
        <v>20</v>
      </c>
      <c r="J189" s="6" t="s">
        <v>174</v>
      </c>
      <c r="K189" s="6" t="s">
        <v>25</v>
      </c>
      <c r="L189" s="6" t="s">
        <v>20</v>
      </c>
      <c r="M189" s="6" t="s">
        <v>30</v>
      </c>
      <c r="N189" s="6" t="s">
        <v>26</v>
      </c>
      <c r="O189" s="6" t="s">
        <v>60</v>
      </c>
      <c r="P189" s="6" t="s">
        <v>27</v>
      </c>
      <c r="Q189" s="6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3.2">
      <c r="A190" s="5">
        <v>44523.352468344907</v>
      </c>
      <c r="B190" s="6"/>
      <c r="C190" s="6" t="s">
        <v>18</v>
      </c>
      <c r="D190" s="289" t="s">
        <v>19</v>
      </c>
      <c r="E190" s="6" t="s">
        <v>20</v>
      </c>
      <c r="F190" s="6" t="s">
        <v>35</v>
      </c>
      <c r="G190" s="6" t="s">
        <v>22</v>
      </c>
      <c r="H190" s="6" t="s">
        <v>36</v>
      </c>
      <c r="I190" s="6" t="s">
        <v>20</v>
      </c>
      <c r="J190" s="6"/>
      <c r="K190" s="6" t="s">
        <v>30</v>
      </c>
      <c r="L190" s="6" t="s">
        <v>20</v>
      </c>
      <c r="M190" s="6" t="s">
        <v>30</v>
      </c>
      <c r="N190" s="6" t="s">
        <v>31</v>
      </c>
      <c r="O190" s="6"/>
      <c r="P190" s="6" t="s">
        <v>34</v>
      </c>
      <c r="Q190" s="6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3.2">
      <c r="A191" s="5">
        <v>44523.368944560185</v>
      </c>
      <c r="B191" s="6"/>
      <c r="C191" s="6" t="s">
        <v>18</v>
      </c>
      <c r="D191" s="290" t="s">
        <v>19</v>
      </c>
      <c r="E191" s="6" t="s">
        <v>20</v>
      </c>
      <c r="F191" s="6" t="s">
        <v>39</v>
      </c>
      <c r="G191" s="6" t="s">
        <v>54</v>
      </c>
      <c r="H191" s="6" t="s">
        <v>33</v>
      </c>
      <c r="I191" s="6" t="s">
        <v>20</v>
      </c>
      <c r="J191" s="6" t="s">
        <v>175</v>
      </c>
      <c r="K191" s="6" t="s">
        <v>20</v>
      </c>
      <c r="L191" s="6" t="s">
        <v>20</v>
      </c>
      <c r="M191" s="6" t="s">
        <v>20</v>
      </c>
      <c r="N191" s="6" t="s">
        <v>26</v>
      </c>
      <c r="O191" s="6" t="s">
        <v>176</v>
      </c>
      <c r="P191" s="6" t="s">
        <v>27</v>
      </c>
      <c r="Q191" s="6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3.2">
      <c r="A192" s="5">
        <v>44523.371320995371</v>
      </c>
      <c r="B192" s="6"/>
      <c r="C192" s="6" t="s">
        <v>28</v>
      </c>
      <c r="D192" s="289" t="s">
        <v>19</v>
      </c>
      <c r="E192" s="6" t="s">
        <v>30</v>
      </c>
      <c r="F192" s="6" t="s">
        <v>32</v>
      </c>
      <c r="G192" s="6" t="s">
        <v>49</v>
      </c>
      <c r="H192" s="6" t="s">
        <v>33</v>
      </c>
      <c r="I192" s="6" t="s">
        <v>30</v>
      </c>
      <c r="J192" s="6"/>
      <c r="K192" s="6" t="s">
        <v>25</v>
      </c>
      <c r="L192" s="6" t="s">
        <v>30</v>
      </c>
      <c r="M192" s="6"/>
      <c r="N192" s="6" t="s">
        <v>31</v>
      </c>
      <c r="O192" s="6"/>
      <c r="P192" s="6" t="s">
        <v>34</v>
      </c>
      <c r="Q192" s="6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3.2">
      <c r="A193" s="5">
        <v>44523.377405104169</v>
      </c>
      <c r="B193" s="6"/>
      <c r="C193" s="6" t="s">
        <v>18</v>
      </c>
      <c r="D193" s="290" t="s">
        <v>19</v>
      </c>
      <c r="E193" s="6" t="s">
        <v>20</v>
      </c>
      <c r="F193" s="6" t="s">
        <v>32</v>
      </c>
      <c r="G193" s="6" t="s">
        <v>40</v>
      </c>
      <c r="H193" s="6" t="s">
        <v>33</v>
      </c>
      <c r="I193" s="6" t="s">
        <v>20</v>
      </c>
      <c r="J193" s="6"/>
      <c r="K193" s="6" t="s">
        <v>20</v>
      </c>
      <c r="L193" s="6" t="s">
        <v>20</v>
      </c>
      <c r="M193" s="6" t="s">
        <v>20</v>
      </c>
      <c r="N193" s="6" t="s">
        <v>26</v>
      </c>
      <c r="O193" s="6"/>
      <c r="P193" s="6" t="s">
        <v>34</v>
      </c>
      <c r="Q193" s="6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3.8">
      <c r="A194" s="5">
        <v>44523.380252013885</v>
      </c>
      <c r="B194" s="6"/>
      <c r="C194" s="6" t="s">
        <v>28</v>
      </c>
      <c r="D194" s="289" t="s">
        <v>19</v>
      </c>
      <c r="E194" s="6" t="s">
        <v>20</v>
      </c>
      <c r="F194" s="6" t="s">
        <v>35</v>
      </c>
      <c r="G194" s="6" t="s">
        <v>22</v>
      </c>
      <c r="H194" s="6" t="s">
        <v>63</v>
      </c>
      <c r="I194" s="6" t="s">
        <v>30</v>
      </c>
      <c r="J194" s="6"/>
      <c r="K194" s="6" t="s">
        <v>20</v>
      </c>
      <c r="L194" s="6" t="s">
        <v>30</v>
      </c>
      <c r="M194" s="6"/>
      <c r="N194" s="6" t="s">
        <v>31</v>
      </c>
      <c r="O194" s="6"/>
      <c r="P194" s="6" t="s">
        <v>27</v>
      </c>
      <c r="Q194" s="11" t="s">
        <v>177</v>
      </c>
      <c r="R194" s="12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3.2">
      <c r="A195" s="5">
        <v>44523.389113726851</v>
      </c>
      <c r="B195" s="6"/>
      <c r="C195" s="6" t="s">
        <v>18</v>
      </c>
      <c r="D195" s="290" t="s">
        <v>97</v>
      </c>
      <c r="E195" s="6" t="s">
        <v>20</v>
      </c>
      <c r="F195" s="6" t="s">
        <v>32</v>
      </c>
      <c r="G195" s="6" t="s">
        <v>22</v>
      </c>
      <c r="H195" s="6" t="s">
        <v>33</v>
      </c>
      <c r="I195" s="6" t="s">
        <v>20</v>
      </c>
      <c r="J195" s="6"/>
      <c r="K195" s="6" t="s">
        <v>30</v>
      </c>
      <c r="L195" s="6" t="s">
        <v>30</v>
      </c>
      <c r="M195" s="6"/>
      <c r="N195" s="6" t="s">
        <v>31</v>
      </c>
      <c r="O195" s="6"/>
      <c r="P195" s="6" t="s">
        <v>34</v>
      </c>
      <c r="Q195" s="6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3.2">
      <c r="A196" s="5">
        <v>44523.39411898148</v>
      </c>
      <c r="B196" s="6"/>
      <c r="C196" s="6" t="s">
        <v>28</v>
      </c>
      <c r="D196" s="289" t="s">
        <v>48</v>
      </c>
      <c r="E196" s="6" t="s">
        <v>20</v>
      </c>
      <c r="F196" s="6" t="s">
        <v>39</v>
      </c>
      <c r="G196" s="6" t="s">
        <v>22</v>
      </c>
      <c r="H196" s="6" t="s">
        <v>63</v>
      </c>
      <c r="I196" s="6" t="s">
        <v>30</v>
      </c>
      <c r="J196" s="6"/>
      <c r="K196" s="6" t="s">
        <v>25</v>
      </c>
      <c r="L196" s="6" t="s">
        <v>30</v>
      </c>
      <c r="M196" s="6" t="s">
        <v>30</v>
      </c>
      <c r="N196" s="6" t="s">
        <v>31</v>
      </c>
      <c r="O196" s="6"/>
      <c r="P196" s="6" t="s">
        <v>27</v>
      </c>
      <c r="Q196" s="6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3.2">
      <c r="A197" s="5">
        <v>44523.407182673611</v>
      </c>
      <c r="B197" s="6"/>
      <c r="C197" s="6" t="s">
        <v>18</v>
      </c>
      <c r="D197" s="290" t="s">
        <v>87</v>
      </c>
      <c r="E197" s="6" t="s">
        <v>20</v>
      </c>
      <c r="F197" s="6" t="s">
        <v>39</v>
      </c>
      <c r="G197" s="6" t="s">
        <v>22</v>
      </c>
      <c r="H197" s="6" t="s">
        <v>33</v>
      </c>
      <c r="I197" s="6" t="s">
        <v>20</v>
      </c>
      <c r="J197" s="6"/>
      <c r="K197" s="6" t="s">
        <v>25</v>
      </c>
      <c r="L197" s="6" t="s">
        <v>20</v>
      </c>
      <c r="M197" s="6" t="s">
        <v>30</v>
      </c>
      <c r="N197" s="6" t="s">
        <v>31</v>
      </c>
      <c r="O197" s="6"/>
      <c r="P197" s="6" t="s">
        <v>27</v>
      </c>
      <c r="Q197" s="6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3.2">
      <c r="A198" s="5">
        <v>44523.40888743056</v>
      </c>
      <c r="B198" s="6"/>
      <c r="C198" s="6" t="s">
        <v>18</v>
      </c>
      <c r="D198" s="289" t="s">
        <v>19</v>
      </c>
      <c r="E198" s="6" t="s">
        <v>20</v>
      </c>
      <c r="F198" s="6" t="s">
        <v>39</v>
      </c>
      <c r="G198" s="6" t="s">
        <v>40</v>
      </c>
      <c r="H198" s="6" t="s">
        <v>33</v>
      </c>
      <c r="I198" s="6" t="s">
        <v>30</v>
      </c>
      <c r="J198" s="6"/>
      <c r="K198" s="6" t="s">
        <v>25</v>
      </c>
      <c r="L198" s="6" t="s">
        <v>30</v>
      </c>
      <c r="M198" s="6"/>
      <c r="N198" s="6" t="s">
        <v>31</v>
      </c>
      <c r="O198" s="6"/>
      <c r="P198" s="6" t="s">
        <v>27</v>
      </c>
      <c r="Q198" s="6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3.2">
      <c r="A199" s="5">
        <v>44523.410629085643</v>
      </c>
      <c r="B199" s="6"/>
      <c r="C199" s="6" t="s">
        <v>18</v>
      </c>
      <c r="D199" s="290" t="s">
        <v>19</v>
      </c>
      <c r="E199" s="6" t="s">
        <v>20</v>
      </c>
      <c r="F199" s="6" t="s">
        <v>39</v>
      </c>
      <c r="G199" s="6" t="s">
        <v>40</v>
      </c>
      <c r="H199" s="6" t="s">
        <v>33</v>
      </c>
      <c r="I199" s="6" t="s">
        <v>20</v>
      </c>
      <c r="J199" s="6"/>
      <c r="K199" s="6" t="s">
        <v>20</v>
      </c>
      <c r="L199" s="6" t="s">
        <v>20</v>
      </c>
      <c r="M199" s="6" t="s">
        <v>20</v>
      </c>
      <c r="N199" s="6" t="s">
        <v>31</v>
      </c>
      <c r="O199" s="6"/>
      <c r="P199" s="6" t="s">
        <v>52</v>
      </c>
      <c r="Q199" s="6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3.2">
      <c r="A200" s="5">
        <v>44523.412223634259</v>
      </c>
      <c r="B200" s="6"/>
      <c r="C200" s="6" t="s">
        <v>18</v>
      </c>
      <c r="D200" s="289" t="s">
        <v>19</v>
      </c>
      <c r="E200" s="6" t="s">
        <v>20</v>
      </c>
      <c r="F200" s="6" t="s">
        <v>35</v>
      </c>
      <c r="G200" s="6" t="s">
        <v>40</v>
      </c>
      <c r="H200" s="6" t="s">
        <v>67</v>
      </c>
      <c r="I200" s="6" t="s">
        <v>20</v>
      </c>
      <c r="J200" s="6" t="s">
        <v>178</v>
      </c>
      <c r="K200" s="6" t="s">
        <v>25</v>
      </c>
      <c r="L200" s="6" t="s">
        <v>30</v>
      </c>
      <c r="M200" s="6"/>
      <c r="N200" s="6" t="s">
        <v>31</v>
      </c>
      <c r="O200" s="6"/>
      <c r="P200" s="6" t="s">
        <v>27</v>
      </c>
      <c r="Q200" s="6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3.2">
      <c r="A201" s="5">
        <v>44523.412397025459</v>
      </c>
      <c r="B201" s="6"/>
      <c r="C201" s="6" t="s">
        <v>18</v>
      </c>
      <c r="D201" s="290" t="s">
        <v>19</v>
      </c>
      <c r="E201" s="6" t="s">
        <v>20</v>
      </c>
      <c r="F201" s="6" t="s">
        <v>179</v>
      </c>
      <c r="G201" s="6" t="s">
        <v>40</v>
      </c>
      <c r="H201" s="6" t="s">
        <v>42</v>
      </c>
      <c r="I201" s="6" t="s">
        <v>20</v>
      </c>
      <c r="J201" s="6"/>
      <c r="K201" s="6" t="s">
        <v>25</v>
      </c>
      <c r="L201" s="6" t="s">
        <v>20</v>
      </c>
      <c r="M201" s="6" t="s">
        <v>30</v>
      </c>
      <c r="N201" s="6" t="s">
        <v>31</v>
      </c>
      <c r="O201" s="6"/>
      <c r="P201" s="6" t="s">
        <v>34</v>
      </c>
      <c r="Q201" s="6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3.2">
      <c r="A202" s="5">
        <v>44523.41295510417</v>
      </c>
      <c r="B202" s="6"/>
      <c r="C202" s="6" t="s">
        <v>18</v>
      </c>
      <c r="D202" s="289" t="s">
        <v>19</v>
      </c>
      <c r="E202" s="6" t="s">
        <v>20</v>
      </c>
      <c r="F202" s="6" t="s">
        <v>179</v>
      </c>
      <c r="G202" s="6" t="s">
        <v>40</v>
      </c>
      <c r="H202" s="6" t="s">
        <v>42</v>
      </c>
      <c r="I202" s="6" t="s">
        <v>20</v>
      </c>
      <c r="J202" s="6"/>
      <c r="K202" s="6" t="s">
        <v>25</v>
      </c>
      <c r="L202" s="6" t="s">
        <v>20</v>
      </c>
      <c r="M202" s="6" t="s">
        <v>30</v>
      </c>
      <c r="N202" s="6" t="s">
        <v>31</v>
      </c>
      <c r="O202" s="6"/>
      <c r="P202" s="6" t="s">
        <v>34</v>
      </c>
      <c r="Q202" s="6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3.2">
      <c r="A203" s="5">
        <v>44523.41937570602</v>
      </c>
      <c r="B203" s="6"/>
      <c r="C203" s="6" t="s">
        <v>18</v>
      </c>
      <c r="D203" s="290" t="s">
        <v>19</v>
      </c>
      <c r="E203" s="6" t="s">
        <v>20</v>
      </c>
      <c r="F203" s="6" t="s">
        <v>35</v>
      </c>
      <c r="G203" s="6" t="s">
        <v>22</v>
      </c>
      <c r="H203" s="6" t="s">
        <v>42</v>
      </c>
      <c r="I203" s="6" t="s">
        <v>30</v>
      </c>
      <c r="J203" s="6"/>
      <c r="K203" s="6" t="s">
        <v>25</v>
      </c>
      <c r="L203" s="6" t="s">
        <v>30</v>
      </c>
      <c r="M203" s="6"/>
      <c r="N203" s="6" t="s">
        <v>31</v>
      </c>
      <c r="O203" s="6"/>
      <c r="P203" s="6" t="s">
        <v>27</v>
      </c>
      <c r="Q203" s="6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3.2">
      <c r="A204" s="5">
        <v>44523.420359131946</v>
      </c>
      <c r="B204" s="6"/>
      <c r="C204" s="6" t="s">
        <v>28</v>
      </c>
      <c r="D204" s="289" t="s">
        <v>19</v>
      </c>
      <c r="E204" s="6" t="s">
        <v>20</v>
      </c>
      <c r="F204" s="6" t="s">
        <v>39</v>
      </c>
      <c r="G204" s="6" t="s">
        <v>22</v>
      </c>
      <c r="H204" s="6" t="s">
        <v>33</v>
      </c>
      <c r="I204" s="6" t="s">
        <v>30</v>
      </c>
      <c r="J204" s="6"/>
      <c r="K204" s="6" t="s">
        <v>30</v>
      </c>
      <c r="L204" s="6" t="s">
        <v>30</v>
      </c>
      <c r="M204" s="6"/>
      <c r="N204" s="6" t="s">
        <v>51</v>
      </c>
      <c r="O204" s="6"/>
      <c r="P204" s="6" t="s">
        <v>52</v>
      </c>
      <c r="Q204" s="6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3.2">
      <c r="A205" s="5">
        <v>44523.420592430557</v>
      </c>
      <c r="B205" s="6"/>
      <c r="C205" s="6" t="s">
        <v>28</v>
      </c>
      <c r="D205" s="290" t="s">
        <v>19</v>
      </c>
      <c r="E205" s="6" t="s">
        <v>20</v>
      </c>
      <c r="F205" s="6" t="s">
        <v>39</v>
      </c>
      <c r="G205" s="6" t="s">
        <v>40</v>
      </c>
      <c r="H205" s="6" t="s">
        <v>33</v>
      </c>
      <c r="I205" s="6" t="s">
        <v>30</v>
      </c>
      <c r="J205" s="6"/>
      <c r="K205" s="6" t="s">
        <v>30</v>
      </c>
      <c r="L205" s="6" t="s">
        <v>30</v>
      </c>
      <c r="M205" s="6"/>
      <c r="N205" s="6" t="s">
        <v>51</v>
      </c>
      <c r="O205" s="6"/>
      <c r="P205" s="6" t="s">
        <v>52</v>
      </c>
      <c r="Q205" s="6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3.2">
      <c r="A206" s="5">
        <v>44523.423445173612</v>
      </c>
      <c r="B206" s="6"/>
      <c r="C206" s="6" t="s">
        <v>28</v>
      </c>
      <c r="D206" s="289" t="s">
        <v>19</v>
      </c>
      <c r="E206" s="6" t="s">
        <v>20</v>
      </c>
      <c r="F206" s="6" t="s">
        <v>74</v>
      </c>
      <c r="G206" s="6" t="s">
        <v>49</v>
      </c>
      <c r="H206" s="6" t="s">
        <v>33</v>
      </c>
      <c r="I206" s="6" t="s">
        <v>30</v>
      </c>
      <c r="J206" s="6"/>
      <c r="K206" s="6" t="s">
        <v>20</v>
      </c>
      <c r="L206" s="6" t="s">
        <v>20</v>
      </c>
      <c r="M206" s="6" t="s">
        <v>20</v>
      </c>
      <c r="N206" s="6" t="s">
        <v>31</v>
      </c>
      <c r="O206" s="6"/>
      <c r="P206" s="6" t="s">
        <v>27</v>
      </c>
      <c r="Q206" s="6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3.2">
      <c r="A207" s="5">
        <v>44523.42404380787</v>
      </c>
      <c r="B207" s="6"/>
      <c r="C207" s="6" t="s">
        <v>18</v>
      </c>
      <c r="D207" s="290" t="s">
        <v>19</v>
      </c>
      <c r="E207" s="6" t="s">
        <v>30</v>
      </c>
      <c r="F207" s="6"/>
      <c r="G207" s="6" t="s">
        <v>40</v>
      </c>
      <c r="H207" s="6" t="s">
        <v>36</v>
      </c>
      <c r="I207" s="6" t="s">
        <v>20</v>
      </c>
      <c r="J207" s="6"/>
      <c r="K207" s="6" t="s">
        <v>25</v>
      </c>
      <c r="L207" s="6" t="s">
        <v>30</v>
      </c>
      <c r="M207" s="6"/>
      <c r="N207" s="6" t="s">
        <v>31</v>
      </c>
      <c r="O207" s="6"/>
      <c r="P207" s="6" t="s">
        <v>34</v>
      </c>
      <c r="Q207" s="6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3.2">
      <c r="A208" s="5">
        <v>44523.427895937501</v>
      </c>
      <c r="B208" s="6"/>
      <c r="C208" s="6" t="s">
        <v>18</v>
      </c>
      <c r="D208" s="289" t="s">
        <v>48</v>
      </c>
      <c r="E208" s="6" t="s">
        <v>20</v>
      </c>
      <c r="F208" s="6" t="s">
        <v>39</v>
      </c>
      <c r="G208" s="6" t="s">
        <v>22</v>
      </c>
      <c r="H208" s="6" t="s">
        <v>63</v>
      </c>
      <c r="I208" s="6" t="s">
        <v>30</v>
      </c>
      <c r="J208" s="6"/>
      <c r="K208" s="6" t="s">
        <v>30</v>
      </c>
      <c r="L208" s="6" t="s">
        <v>20</v>
      </c>
      <c r="M208" s="6" t="s">
        <v>20</v>
      </c>
      <c r="N208" s="6" t="s">
        <v>31</v>
      </c>
      <c r="O208" s="6"/>
      <c r="P208" s="6" t="s">
        <v>34</v>
      </c>
      <c r="Q208" s="6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3.2">
      <c r="A209" s="5">
        <v>44523.42846520833</v>
      </c>
      <c r="B209" s="6"/>
      <c r="C209" s="6" t="s">
        <v>18</v>
      </c>
      <c r="D209" s="290" t="s">
        <v>19</v>
      </c>
      <c r="E209" s="6" t="s">
        <v>20</v>
      </c>
      <c r="F209" s="6" t="s">
        <v>35</v>
      </c>
      <c r="G209" s="6" t="s">
        <v>22</v>
      </c>
      <c r="H209" s="6" t="s">
        <v>42</v>
      </c>
      <c r="I209" s="6" t="s">
        <v>20</v>
      </c>
      <c r="J209" s="6"/>
      <c r="K209" s="6" t="s">
        <v>30</v>
      </c>
      <c r="L209" s="6" t="s">
        <v>20</v>
      </c>
      <c r="M209" s="6"/>
      <c r="N209" s="6" t="s">
        <v>26</v>
      </c>
      <c r="O209" s="6" t="s">
        <v>180</v>
      </c>
      <c r="P209" s="6" t="s">
        <v>34</v>
      </c>
      <c r="Q209" s="6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3.2">
      <c r="A210" s="5">
        <v>44523.428721273143</v>
      </c>
      <c r="B210" s="6"/>
      <c r="C210" s="6" t="s">
        <v>18</v>
      </c>
      <c r="D210" s="289" t="s">
        <v>19</v>
      </c>
      <c r="E210" s="6" t="s">
        <v>20</v>
      </c>
      <c r="F210" s="6" t="s">
        <v>21</v>
      </c>
      <c r="G210" s="6" t="s">
        <v>22</v>
      </c>
      <c r="H210" s="6" t="s">
        <v>33</v>
      </c>
      <c r="I210" s="6" t="s">
        <v>30</v>
      </c>
      <c r="J210" s="6"/>
      <c r="K210" s="6" t="s">
        <v>20</v>
      </c>
      <c r="L210" s="6" t="s">
        <v>20</v>
      </c>
      <c r="M210" s="6" t="s">
        <v>30</v>
      </c>
      <c r="N210" s="6" t="s">
        <v>31</v>
      </c>
      <c r="O210" s="6"/>
      <c r="P210" s="6" t="s">
        <v>27</v>
      </c>
      <c r="Q210" s="6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3.2">
      <c r="A211" s="5">
        <v>44523.429406296302</v>
      </c>
      <c r="B211" s="6"/>
      <c r="C211" s="6" t="s">
        <v>28</v>
      </c>
      <c r="D211" s="290" t="s">
        <v>97</v>
      </c>
      <c r="E211" s="6" t="s">
        <v>20</v>
      </c>
      <c r="F211" s="6" t="s">
        <v>21</v>
      </c>
      <c r="G211" s="6" t="s">
        <v>22</v>
      </c>
      <c r="H211" s="6" t="s">
        <v>33</v>
      </c>
      <c r="I211" s="6" t="s">
        <v>20</v>
      </c>
      <c r="J211" s="6" t="s">
        <v>181</v>
      </c>
      <c r="K211" s="6" t="s">
        <v>25</v>
      </c>
      <c r="L211" s="6" t="s">
        <v>30</v>
      </c>
      <c r="M211" s="6"/>
      <c r="N211" s="6" t="s">
        <v>31</v>
      </c>
      <c r="O211" s="6"/>
      <c r="P211" s="6" t="s">
        <v>27</v>
      </c>
      <c r="Q211" s="6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3.2">
      <c r="A212" s="5">
        <v>44523.432162314813</v>
      </c>
      <c r="B212" s="6"/>
      <c r="C212" s="6" t="s">
        <v>28</v>
      </c>
      <c r="D212" s="289" t="s">
        <v>48</v>
      </c>
      <c r="E212" s="6" t="s">
        <v>20</v>
      </c>
      <c r="F212" s="6" t="s">
        <v>39</v>
      </c>
      <c r="G212" s="6" t="s">
        <v>54</v>
      </c>
      <c r="H212" s="6" t="s">
        <v>63</v>
      </c>
      <c r="I212" s="6" t="s">
        <v>30</v>
      </c>
      <c r="J212" s="6"/>
      <c r="K212" s="6" t="s">
        <v>30</v>
      </c>
      <c r="L212" s="6" t="s">
        <v>30</v>
      </c>
      <c r="M212" s="6" t="s">
        <v>30</v>
      </c>
      <c r="N212" s="6" t="s">
        <v>31</v>
      </c>
      <c r="O212" s="6"/>
      <c r="P212" s="6" t="s">
        <v>27</v>
      </c>
      <c r="Q212" s="6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3.2">
      <c r="A213" s="5">
        <v>44523.432813206018</v>
      </c>
      <c r="B213" s="6"/>
      <c r="C213" s="6" t="s">
        <v>18</v>
      </c>
      <c r="D213" s="290" t="s">
        <v>19</v>
      </c>
      <c r="E213" s="6" t="s">
        <v>20</v>
      </c>
      <c r="F213" s="6" t="s">
        <v>39</v>
      </c>
      <c r="G213" s="6" t="s">
        <v>40</v>
      </c>
      <c r="H213" s="6" t="s">
        <v>33</v>
      </c>
      <c r="I213" s="6" t="s">
        <v>30</v>
      </c>
      <c r="J213" s="6"/>
      <c r="K213" s="6" t="s">
        <v>30</v>
      </c>
      <c r="L213" s="6" t="s">
        <v>20</v>
      </c>
      <c r="M213" s="6" t="s">
        <v>20</v>
      </c>
      <c r="N213" s="6" t="s">
        <v>31</v>
      </c>
      <c r="O213" s="6"/>
      <c r="P213" s="6" t="s">
        <v>27</v>
      </c>
      <c r="Q213" s="6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6">
      <c r="A214" s="2"/>
      <c r="B214" s="1"/>
      <c r="C214" s="1"/>
      <c r="D214" s="3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6">
      <c r="A215" s="1"/>
      <c r="B215" s="1"/>
      <c r="C215" s="1"/>
      <c r="D215" s="3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6">
      <c r="A216" s="1"/>
      <c r="B216" s="1"/>
      <c r="C216" s="1"/>
      <c r="D216" s="3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6">
      <c r="A217" s="1"/>
      <c r="B217" s="1"/>
      <c r="C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6">
      <c r="A218" s="13"/>
      <c r="D218" s="3"/>
      <c r="V218" s="1"/>
      <c r="W218" s="1"/>
      <c r="X218" s="1"/>
      <c r="Y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3.8">
      <c r="A219" s="14"/>
      <c r="D219" s="3"/>
    </row>
    <row r="220" spans="1:39" ht="12.6">
      <c r="A220" s="13"/>
      <c r="D220" s="3"/>
    </row>
    <row r="221" spans="1:39" ht="12.6">
      <c r="A221" s="2"/>
      <c r="B221" s="1"/>
      <c r="C221" s="15"/>
      <c r="D221" s="3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6">
      <c r="C222" s="16"/>
      <c r="D222" s="3"/>
    </row>
    <row r="223" spans="1:39" ht="12.6">
      <c r="C223" s="17"/>
      <c r="D223" s="3"/>
    </row>
    <row r="224" spans="1:39" ht="13.8">
      <c r="C224" s="17"/>
      <c r="D224" s="3"/>
      <c r="P224" s="14"/>
    </row>
    <row r="225" spans="1:16" ht="12.6">
      <c r="D225" s="3"/>
    </row>
    <row r="226" spans="1:16" ht="13.8">
      <c r="C226" s="18" t="s">
        <v>182</v>
      </c>
      <c r="D226" s="3"/>
      <c r="E226" s="255" t="s">
        <v>183</v>
      </c>
      <c r="F226" s="252"/>
      <c r="P226" s="14"/>
    </row>
    <row r="227" spans="1:16" ht="12.6">
      <c r="C227" s="19">
        <f>COUNTIF(C2:C213,"Feminino")</f>
        <v>143</v>
      </c>
      <c r="D227" s="3"/>
      <c r="E227" s="251">
        <f>COUNTIF(D13:D212,"&gt;18")</f>
        <v>0</v>
      </c>
      <c r="F227" s="252"/>
    </row>
    <row r="228" spans="1:16" ht="12.6">
      <c r="C228" s="20">
        <f>COUNTIF(C3:C212,"Masculino")</f>
        <v>67</v>
      </c>
      <c r="D228" s="3"/>
      <c r="E228" s="251">
        <f>COUNTIF(D2:D213,"18-23")</f>
        <v>148</v>
      </c>
      <c r="F228" s="252"/>
    </row>
    <row r="229" spans="1:16" ht="12.6">
      <c r="C229" s="20">
        <f>COUNTIF(C41:C86,"Outro")</f>
        <v>2</v>
      </c>
      <c r="D229" s="3"/>
      <c r="E229" s="251">
        <f>COUNTIF(D59:D211,"24-29")</f>
        <v>5</v>
      </c>
      <c r="F229" s="252"/>
    </row>
    <row r="230" spans="1:16" ht="12.6">
      <c r="C230" s="20">
        <f>SUM(C227:C229)</f>
        <v>212</v>
      </c>
      <c r="D230" s="3"/>
      <c r="E230" s="251">
        <f>COUNTIF(D121,"30-35")</f>
        <v>1</v>
      </c>
      <c r="F230" s="252"/>
    </row>
    <row r="231" spans="1:16" ht="12.6">
      <c r="D231" s="3"/>
      <c r="E231" s="251">
        <f>COUNTIF(D123:D197,"36-41")</f>
        <v>5</v>
      </c>
      <c r="F231" s="252"/>
    </row>
    <row r="232" spans="1:16" ht="12.6">
      <c r="A232" s="21"/>
      <c r="D232" s="3"/>
      <c r="E232" s="251">
        <f>COUNTIF(D24:D132,"&gt;41")</f>
        <v>0</v>
      </c>
      <c r="F232" s="252"/>
    </row>
    <row r="233" spans="1:16" ht="13.8">
      <c r="A233" s="14"/>
      <c r="B233" s="21"/>
      <c r="D233" s="3"/>
      <c r="E233" s="251">
        <f>SUM(E227:F232)</f>
        <v>159</v>
      </c>
      <c r="F233" s="252"/>
    </row>
    <row r="234" spans="1:16" ht="12.6">
      <c r="D234" s="3"/>
    </row>
    <row r="235" spans="1:16" ht="12.6">
      <c r="C235" s="253" t="s">
        <v>184</v>
      </c>
      <c r="D235" s="254"/>
      <c r="E235" s="254"/>
      <c r="F235" s="254"/>
    </row>
    <row r="236" spans="1:16" ht="15.75" customHeight="1">
      <c r="C236" s="254"/>
      <c r="D236" s="254"/>
      <c r="E236" s="254"/>
      <c r="F236" s="254"/>
    </row>
    <row r="237" spans="1:16" ht="15.75" customHeight="1">
      <c r="C237" s="254"/>
      <c r="D237" s="254"/>
      <c r="E237" s="254"/>
      <c r="F237" s="254"/>
    </row>
    <row r="238" spans="1:16" ht="15.75" customHeight="1">
      <c r="C238" s="254"/>
      <c r="D238" s="254"/>
      <c r="E238" s="254"/>
      <c r="F238" s="254"/>
    </row>
    <row r="239" spans="1:16" ht="12.6">
      <c r="D239" s="3"/>
      <c r="E239" s="22"/>
    </row>
    <row r="240" spans="1:16" ht="12.6">
      <c r="D240" s="3"/>
      <c r="E240" s="22"/>
    </row>
    <row r="241" spans="4:6" ht="12.6">
      <c r="D241" s="3"/>
      <c r="E241" s="22"/>
    </row>
    <row r="242" spans="4:6" ht="12.6">
      <c r="D242" s="3"/>
      <c r="E242" s="22"/>
      <c r="F242" s="23"/>
    </row>
    <row r="243" spans="4:6" ht="12.6">
      <c r="D243" s="3"/>
      <c r="E243" s="22"/>
    </row>
    <row r="244" spans="4:6" ht="12.6">
      <c r="D244" s="3"/>
      <c r="E244" s="22"/>
    </row>
    <row r="245" spans="4:6" ht="12.6">
      <c r="D245" s="3" t="s">
        <v>3</v>
      </c>
      <c r="E245" s="22"/>
      <c r="F245">
        <f>DCOUNTA(D1:D213,"Qual a sua faixa etária?",D245:D246)</f>
        <v>45</v>
      </c>
    </row>
    <row r="246" spans="4:6" ht="12.6">
      <c r="D246" s="3" t="s">
        <v>365</v>
      </c>
      <c r="E246" s="22"/>
    </row>
    <row r="247" spans="4:6" ht="12.6">
      <c r="D247" s="3"/>
    </row>
    <row r="248" spans="4:6" ht="12.6">
      <c r="D248" s="3"/>
    </row>
    <row r="249" spans="4:6" ht="12.6">
      <c r="D249" s="3"/>
    </row>
    <row r="250" spans="4:6" ht="12.6">
      <c r="D250" s="3"/>
    </row>
    <row r="251" spans="4:6" ht="12.6">
      <c r="D251" s="3"/>
    </row>
    <row r="252" spans="4:6" ht="12.6">
      <c r="D252" s="3"/>
    </row>
    <row r="253" spans="4:6" ht="12.6">
      <c r="D253" s="3"/>
    </row>
    <row r="254" spans="4:6" ht="12.6">
      <c r="D254" s="3"/>
    </row>
    <row r="255" spans="4:6" ht="12.6">
      <c r="D255" s="3"/>
    </row>
    <row r="256" spans="4:6" ht="12.6">
      <c r="D256" s="3"/>
    </row>
    <row r="257" spans="4:4" ht="12.6">
      <c r="D257" s="3"/>
    </row>
    <row r="258" spans="4:4" ht="12.6">
      <c r="D258" s="3"/>
    </row>
    <row r="259" spans="4:4" ht="12.6">
      <c r="D259" s="3"/>
    </row>
    <row r="260" spans="4:4" ht="12.6">
      <c r="D260" s="3"/>
    </row>
    <row r="261" spans="4:4" ht="12.6">
      <c r="D261" s="3"/>
    </row>
    <row r="262" spans="4:4" ht="12.6">
      <c r="D262" s="3"/>
    </row>
    <row r="263" spans="4:4" ht="12.6">
      <c r="D263" s="3"/>
    </row>
    <row r="264" spans="4:4" ht="12.6">
      <c r="D264" s="3"/>
    </row>
    <row r="265" spans="4:4" ht="12.6">
      <c r="D265" s="3"/>
    </row>
    <row r="266" spans="4:4" ht="12.6">
      <c r="D266" s="3"/>
    </row>
    <row r="267" spans="4:4" ht="12.6">
      <c r="D267" s="3"/>
    </row>
    <row r="268" spans="4:4" ht="12.6">
      <c r="D268" s="3"/>
    </row>
    <row r="269" spans="4:4" ht="12.6">
      <c r="D269" s="3"/>
    </row>
    <row r="270" spans="4:4" ht="12.6">
      <c r="D270" s="3"/>
    </row>
    <row r="271" spans="4:4" ht="12.6">
      <c r="D271" s="3"/>
    </row>
    <row r="272" spans="4:4" ht="12.6">
      <c r="D272" s="3"/>
    </row>
    <row r="273" spans="4:4" ht="12.6">
      <c r="D273" s="3"/>
    </row>
    <row r="274" spans="4:4" ht="12.6">
      <c r="D274" s="3"/>
    </row>
    <row r="275" spans="4:4" ht="12.6">
      <c r="D275" s="3"/>
    </row>
    <row r="276" spans="4:4" ht="12.6">
      <c r="D276" s="3"/>
    </row>
    <row r="277" spans="4:4" ht="12.6">
      <c r="D277" s="3"/>
    </row>
    <row r="278" spans="4:4" ht="12.6">
      <c r="D278" s="3"/>
    </row>
    <row r="279" spans="4:4" ht="12.6">
      <c r="D279" s="3"/>
    </row>
    <row r="280" spans="4:4" ht="12.6">
      <c r="D280" s="3"/>
    </row>
    <row r="281" spans="4:4" ht="12.6">
      <c r="D281" s="3"/>
    </row>
    <row r="282" spans="4:4" ht="12.6">
      <c r="D282" s="3"/>
    </row>
    <row r="283" spans="4:4" ht="12.6">
      <c r="D283" s="3"/>
    </row>
    <row r="284" spans="4:4" ht="12.6">
      <c r="D284" s="3"/>
    </row>
    <row r="285" spans="4:4" ht="12.6">
      <c r="D285" s="3"/>
    </row>
    <row r="286" spans="4:4" ht="12.6">
      <c r="D286" s="3"/>
    </row>
    <row r="287" spans="4:4" ht="12.6">
      <c r="D287" s="3"/>
    </row>
    <row r="288" spans="4:4" ht="12.6">
      <c r="D288" s="3"/>
    </row>
    <row r="289" spans="4:4" ht="12.6">
      <c r="D289" s="3"/>
    </row>
    <row r="290" spans="4:4" ht="12.6">
      <c r="D290" s="3"/>
    </row>
    <row r="291" spans="4:4" ht="12.6">
      <c r="D291" s="3"/>
    </row>
    <row r="292" spans="4:4" ht="12.6">
      <c r="D292" s="3"/>
    </row>
    <row r="293" spans="4:4" ht="12.6">
      <c r="D293" s="3"/>
    </row>
    <row r="294" spans="4:4" ht="12.6">
      <c r="D294" s="3"/>
    </row>
    <row r="295" spans="4:4" ht="12.6">
      <c r="D295" s="3"/>
    </row>
    <row r="296" spans="4:4" ht="12.6">
      <c r="D296" s="3"/>
    </row>
    <row r="297" spans="4:4" ht="12.6">
      <c r="D297" s="3"/>
    </row>
    <row r="298" spans="4:4" ht="12.6">
      <c r="D298" s="3"/>
    </row>
    <row r="299" spans="4:4" ht="12.6">
      <c r="D299" s="3"/>
    </row>
    <row r="300" spans="4:4" ht="12.6">
      <c r="D300" s="3"/>
    </row>
    <row r="301" spans="4:4" ht="12.6">
      <c r="D301" s="3"/>
    </row>
    <row r="302" spans="4:4" ht="12.6">
      <c r="D302" s="3"/>
    </row>
    <row r="303" spans="4:4" ht="12.6">
      <c r="D303" s="3"/>
    </row>
    <row r="304" spans="4:4" ht="12.6">
      <c r="D304" s="3"/>
    </row>
    <row r="305" spans="4:4" ht="12.6">
      <c r="D305" s="3"/>
    </row>
    <row r="306" spans="4:4" ht="12.6">
      <c r="D306" s="3"/>
    </row>
    <row r="307" spans="4:4" ht="12.6">
      <c r="D307" s="3"/>
    </row>
    <row r="308" spans="4:4" ht="12.6">
      <c r="D308" s="3"/>
    </row>
    <row r="309" spans="4:4" ht="12.6">
      <c r="D309" s="3"/>
    </row>
    <row r="310" spans="4:4" ht="12.6">
      <c r="D310" s="3"/>
    </row>
    <row r="311" spans="4:4" ht="12.6">
      <c r="D311" s="3"/>
    </row>
    <row r="312" spans="4:4" ht="12.6">
      <c r="D312" s="3"/>
    </row>
    <row r="313" spans="4:4" ht="12.6">
      <c r="D313" s="3"/>
    </row>
    <row r="314" spans="4:4" ht="12.6">
      <c r="D314" s="3"/>
    </row>
    <row r="315" spans="4:4" ht="12.6">
      <c r="D315" s="3"/>
    </row>
    <row r="316" spans="4:4" ht="12.6">
      <c r="D316" s="3"/>
    </row>
    <row r="317" spans="4:4" ht="12.6">
      <c r="D317" s="3"/>
    </row>
    <row r="318" spans="4:4" ht="12.6">
      <c r="D318" s="3"/>
    </row>
    <row r="319" spans="4:4" ht="12.6">
      <c r="D319" s="3"/>
    </row>
    <row r="320" spans="4:4" ht="12.6">
      <c r="D320" s="3"/>
    </row>
    <row r="321" spans="4:4" ht="12.6">
      <c r="D321" s="3"/>
    </row>
    <row r="322" spans="4:4" ht="12.6">
      <c r="D322" s="3"/>
    </row>
    <row r="323" spans="4:4" ht="12.6">
      <c r="D323" s="3"/>
    </row>
    <row r="324" spans="4:4" ht="12.6">
      <c r="D324" s="3"/>
    </row>
    <row r="325" spans="4:4" ht="12.6">
      <c r="D325" s="3"/>
    </row>
    <row r="326" spans="4:4" ht="12.6">
      <c r="D326" s="3"/>
    </row>
    <row r="327" spans="4:4" ht="12.6">
      <c r="D327" s="3"/>
    </row>
    <row r="328" spans="4:4" ht="12.6">
      <c r="D328" s="3"/>
    </row>
    <row r="329" spans="4:4" ht="12.6">
      <c r="D329" s="3"/>
    </row>
    <row r="330" spans="4:4" ht="12.6">
      <c r="D330" s="3"/>
    </row>
    <row r="331" spans="4:4" ht="12.6">
      <c r="D331" s="3"/>
    </row>
    <row r="332" spans="4:4" ht="12.6">
      <c r="D332" s="3"/>
    </row>
    <row r="333" spans="4:4" ht="12.6">
      <c r="D333" s="3"/>
    </row>
    <row r="334" spans="4:4" ht="12.6">
      <c r="D334" s="3"/>
    </row>
    <row r="335" spans="4:4" ht="12.6">
      <c r="D335" s="3"/>
    </row>
    <row r="336" spans="4:4" ht="12.6">
      <c r="D336" s="3"/>
    </row>
    <row r="337" spans="4:4" ht="12.6">
      <c r="D337" s="3"/>
    </row>
    <row r="338" spans="4:4" ht="12.6">
      <c r="D338" s="3"/>
    </row>
    <row r="339" spans="4:4" ht="12.6">
      <c r="D339" s="3"/>
    </row>
    <row r="340" spans="4:4" ht="12.6">
      <c r="D340" s="3"/>
    </row>
    <row r="341" spans="4:4" ht="12.6">
      <c r="D341" s="3"/>
    </row>
    <row r="342" spans="4:4" ht="12.6">
      <c r="D342" s="3"/>
    </row>
    <row r="343" spans="4:4" ht="12.6">
      <c r="D343" s="3"/>
    </row>
    <row r="344" spans="4:4" ht="12.6">
      <c r="D344" s="3"/>
    </row>
    <row r="345" spans="4:4" ht="12.6">
      <c r="D345" s="3"/>
    </row>
    <row r="346" spans="4:4" ht="12.6">
      <c r="D346" s="3"/>
    </row>
    <row r="347" spans="4:4" ht="12.6">
      <c r="D347" s="3"/>
    </row>
    <row r="348" spans="4:4" ht="12.6">
      <c r="D348" s="3"/>
    </row>
    <row r="349" spans="4:4" ht="12.6">
      <c r="D349" s="3"/>
    </row>
    <row r="350" spans="4:4" ht="12.6">
      <c r="D350" s="3"/>
    </row>
    <row r="351" spans="4:4" ht="12.6">
      <c r="D351" s="3"/>
    </row>
    <row r="352" spans="4:4" ht="12.6">
      <c r="D352" s="3"/>
    </row>
    <row r="353" spans="4:4" ht="12.6">
      <c r="D353" s="3"/>
    </row>
    <row r="354" spans="4:4" ht="12.6">
      <c r="D354" s="3"/>
    </row>
    <row r="355" spans="4:4" ht="12.6">
      <c r="D355" s="3"/>
    </row>
    <row r="356" spans="4:4" ht="12.6">
      <c r="D356" s="3"/>
    </row>
    <row r="357" spans="4:4" ht="12.6">
      <c r="D357" s="3"/>
    </row>
    <row r="358" spans="4:4" ht="12.6">
      <c r="D358" s="3"/>
    </row>
    <row r="359" spans="4:4" ht="12.6">
      <c r="D359" s="3"/>
    </row>
    <row r="360" spans="4:4" ht="12.6">
      <c r="D360" s="3"/>
    </row>
    <row r="361" spans="4:4" ht="12.6">
      <c r="D361" s="3"/>
    </row>
    <row r="362" spans="4:4" ht="12.6">
      <c r="D362" s="3"/>
    </row>
    <row r="363" spans="4:4" ht="12.6">
      <c r="D363" s="3"/>
    </row>
    <row r="364" spans="4:4" ht="12.6">
      <c r="D364" s="3"/>
    </row>
    <row r="365" spans="4:4" ht="12.6">
      <c r="D365" s="3"/>
    </row>
    <row r="366" spans="4:4" ht="12.6">
      <c r="D366" s="3"/>
    </row>
    <row r="367" spans="4:4" ht="12.6">
      <c r="D367" s="3"/>
    </row>
    <row r="368" spans="4:4" ht="12.6">
      <c r="D368" s="3"/>
    </row>
    <row r="369" spans="4:4" ht="12.6">
      <c r="D369" s="3"/>
    </row>
    <row r="370" spans="4:4" ht="12.6">
      <c r="D370" s="3"/>
    </row>
    <row r="371" spans="4:4" ht="12.6">
      <c r="D371" s="3"/>
    </row>
    <row r="372" spans="4:4" ht="12.6">
      <c r="D372" s="3"/>
    </row>
    <row r="373" spans="4:4" ht="12.6">
      <c r="D373" s="3"/>
    </row>
    <row r="374" spans="4:4" ht="12.6">
      <c r="D374" s="3"/>
    </row>
    <row r="375" spans="4:4" ht="12.6">
      <c r="D375" s="3"/>
    </row>
    <row r="376" spans="4:4" ht="12.6">
      <c r="D376" s="3"/>
    </row>
    <row r="377" spans="4:4" ht="12.6">
      <c r="D377" s="3"/>
    </row>
    <row r="378" spans="4:4" ht="12.6">
      <c r="D378" s="3"/>
    </row>
    <row r="379" spans="4:4" ht="12.6">
      <c r="D379" s="3"/>
    </row>
    <row r="380" spans="4:4" ht="12.6">
      <c r="D380" s="3"/>
    </row>
    <row r="381" spans="4:4" ht="12.6">
      <c r="D381" s="3"/>
    </row>
    <row r="382" spans="4:4" ht="12.6">
      <c r="D382" s="3"/>
    </row>
    <row r="383" spans="4:4" ht="12.6">
      <c r="D383" s="3"/>
    </row>
    <row r="384" spans="4:4" ht="12.6">
      <c r="D384" s="3"/>
    </row>
    <row r="385" spans="4:4" ht="12.6">
      <c r="D385" s="3"/>
    </row>
    <row r="386" spans="4:4" ht="12.6">
      <c r="D386" s="3"/>
    </row>
    <row r="387" spans="4:4" ht="12.6">
      <c r="D387" s="3"/>
    </row>
    <row r="388" spans="4:4" ht="12.6">
      <c r="D388" s="3"/>
    </row>
    <row r="389" spans="4:4" ht="12.6">
      <c r="D389" s="3"/>
    </row>
    <row r="390" spans="4:4" ht="12.6">
      <c r="D390" s="3"/>
    </row>
    <row r="391" spans="4:4" ht="12.6">
      <c r="D391" s="3"/>
    </row>
    <row r="392" spans="4:4" ht="12.6">
      <c r="D392" s="3"/>
    </row>
    <row r="393" spans="4:4" ht="12.6">
      <c r="D393" s="3"/>
    </row>
    <row r="394" spans="4:4" ht="12.6">
      <c r="D394" s="3"/>
    </row>
    <row r="395" spans="4:4" ht="12.6">
      <c r="D395" s="3"/>
    </row>
    <row r="396" spans="4:4" ht="12.6">
      <c r="D396" s="3"/>
    </row>
    <row r="397" spans="4:4" ht="12.6">
      <c r="D397" s="3"/>
    </row>
    <row r="398" spans="4:4" ht="12.6">
      <c r="D398" s="3"/>
    </row>
    <row r="399" spans="4:4" ht="12.6">
      <c r="D399" s="3"/>
    </row>
    <row r="400" spans="4:4" ht="12.6">
      <c r="D400" s="3"/>
    </row>
    <row r="401" spans="4:4" ht="12.6">
      <c r="D401" s="3"/>
    </row>
    <row r="402" spans="4:4" ht="12.6">
      <c r="D402" s="3"/>
    </row>
    <row r="403" spans="4:4" ht="12.6">
      <c r="D403" s="3"/>
    </row>
    <row r="404" spans="4:4" ht="12.6">
      <c r="D404" s="3"/>
    </row>
    <row r="405" spans="4:4" ht="12.6">
      <c r="D405" s="3"/>
    </row>
    <row r="406" spans="4:4" ht="12.6">
      <c r="D406" s="3"/>
    </row>
    <row r="407" spans="4:4" ht="12.6">
      <c r="D407" s="3"/>
    </row>
    <row r="408" spans="4:4" ht="12.6">
      <c r="D408" s="3"/>
    </row>
    <row r="409" spans="4:4" ht="12.6">
      <c r="D409" s="3"/>
    </row>
    <row r="410" spans="4:4" ht="12.6">
      <c r="D410" s="3"/>
    </row>
    <row r="411" spans="4:4" ht="12.6">
      <c r="D411" s="3"/>
    </row>
    <row r="412" spans="4:4" ht="12.6">
      <c r="D412" s="3"/>
    </row>
    <row r="413" spans="4:4" ht="12.6">
      <c r="D413" s="3"/>
    </row>
    <row r="414" spans="4:4" ht="12.6">
      <c r="D414" s="3"/>
    </row>
    <row r="415" spans="4:4" ht="12.6">
      <c r="D415" s="3"/>
    </row>
    <row r="416" spans="4:4" ht="12.6">
      <c r="D416" s="3"/>
    </row>
    <row r="417" spans="4:4" ht="12.6">
      <c r="D417" s="3"/>
    </row>
    <row r="418" spans="4:4" ht="12.6">
      <c r="D418" s="3"/>
    </row>
    <row r="419" spans="4:4" ht="12.6">
      <c r="D419" s="3"/>
    </row>
    <row r="420" spans="4:4" ht="12.6">
      <c r="D420" s="3"/>
    </row>
    <row r="421" spans="4:4" ht="12.6">
      <c r="D421" s="3"/>
    </row>
    <row r="422" spans="4:4" ht="12.6">
      <c r="D422" s="3"/>
    </row>
    <row r="423" spans="4:4" ht="12.6">
      <c r="D423" s="3"/>
    </row>
    <row r="424" spans="4:4" ht="12.6">
      <c r="D424" s="3"/>
    </row>
    <row r="425" spans="4:4" ht="12.6">
      <c r="D425" s="3"/>
    </row>
    <row r="426" spans="4:4" ht="12.6">
      <c r="D426" s="3"/>
    </row>
    <row r="427" spans="4:4" ht="12.6">
      <c r="D427" s="3"/>
    </row>
    <row r="428" spans="4:4" ht="12.6">
      <c r="D428" s="3"/>
    </row>
    <row r="429" spans="4:4" ht="12.6">
      <c r="D429" s="3"/>
    </row>
    <row r="430" spans="4:4" ht="12.6">
      <c r="D430" s="3"/>
    </row>
    <row r="431" spans="4:4" ht="12.6">
      <c r="D431" s="3"/>
    </row>
    <row r="432" spans="4:4" ht="12.6">
      <c r="D432" s="3"/>
    </row>
    <row r="433" spans="4:4" ht="12.6">
      <c r="D433" s="3"/>
    </row>
    <row r="434" spans="4:4" ht="12.6">
      <c r="D434" s="3"/>
    </row>
    <row r="435" spans="4:4" ht="12.6">
      <c r="D435" s="3"/>
    </row>
    <row r="436" spans="4:4" ht="12.6">
      <c r="D436" s="3"/>
    </row>
    <row r="437" spans="4:4" ht="12.6">
      <c r="D437" s="3"/>
    </row>
    <row r="438" spans="4:4" ht="12.6">
      <c r="D438" s="3"/>
    </row>
    <row r="439" spans="4:4" ht="12.6">
      <c r="D439" s="3"/>
    </row>
    <row r="440" spans="4:4" ht="12.6">
      <c r="D440" s="3"/>
    </row>
    <row r="441" spans="4:4" ht="12.6">
      <c r="D441" s="3"/>
    </row>
    <row r="442" spans="4:4" ht="12.6">
      <c r="D442" s="3"/>
    </row>
    <row r="443" spans="4:4" ht="12.6">
      <c r="D443" s="3"/>
    </row>
    <row r="444" spans="4:4" ht="12.6">
      <c r="D444" s="3"/>
    </row>
    <row r="445" spans="4:4" ht="12.6">
      <c r="D445" s="3"/>
    </row>
    <row r="446" spans="4:4" ht="12.6">
      <c r="D446" s="3"/>
    </row>
    <row r="447" spans="4:4" ht="12.6">
      <c r="D447" s="3"/>
    </row>
    <row r="448" spans="4:4" ht="12.6">
      <c r="D448" s="3"/>
    </row>
    <row r="449" spans="4:4" ht="12.6">
      <c r="D449" s="3"/>
    </row>
    <row r="450" spans="4:4" ht="12.6">
      <c r="D450" s="3"/>
    </row>
    <row r="451" spans="4:4" ht="12.6">
      <c r="D451" s="3"/>
    </row>
    <row r="452" spans="4:4" ht="12.6">
      <c r="D452" s="3"/>
    </row>
    <row r="453" spans="4:4" ht="12.6">
      <c r="D453" s="3"/>
    </row>
    <row r="454" spans="4:4" ht="12.6">
      <c r="D454" s="3"/>
    </row>
    <row r="455" spans="4:4" ht="12.6">
      <c r="D455" s="3"/>
    </row>
    <row r="456" spans="4:4" ht="12.6">
      <c r="D456" s="3"/>
    </row>
    <row r="457" spans="4:4" ht="12.6">
      <c r="D457" s="3"/>
    </row>
    <row r="458" spans="4:4" ht="12.6">
      <c r="D458" s="3"/>
    </row>
    <row r="459" spans="4:4" ht="12.6">
      <c r="D459" s="3"/>
    </row>
    <row r="460" spans="4:4" ht="12.6">
      <c r="D460" s="3"/>
    </row>
    <row r="461" spans="4:4" ht="12.6">
      <c r="D461" s="3"/>
    </row>
    <row r="462" spans="4:4" ht="12.6">
      <c r="D462" s="3"/>
    </row>
    <row r="463" spans="4:4" ht="12.6">
      <c r="D463" s="3"/>
    </row>
    <row r="464" spans="4:4" ht="12.6">
      <c r="D464" s="3"/>
    </row>
    <row r="465" spans="4:4" ht="12.6">
      <c r="D465" s="3"/>
    </row>
    <row r="466" spans="4:4" ht="12.6">
      <c r="D466" s="3"/>
    </row>
    <row r="467" spans="4:4" ht="12.6">
      <c r="D467" s="3"/>
    </row>
    <row r="468" spans="4:4" ht="12.6">
      <c r="D468" s="3"/>
    </row>
    <row r="469" spans="4:4" ht="12.6">
      <c r="D469" s="3"/>
    </row>
    <row r="470" spans="4:4" ht="12.6">
      <c r="D470" s="3"/>
    </row>
    <row r="471" spans="4:4" ht="12.6">
      <c r="D471" s="3"/>
    </row>
    <row r="472" spans="4:4" ht="12.6">
      <c r="D472" s="3"/>
    </row>
    <row r="473" spans="4:4" ht="12.6">
      <c r="D473" s="3"/>
    </row>
    <row r="474" spans="4:4" ht="12.6">
      <c r="D474" s="3"/>
    </row>
    <row r="475" spans="4:4" ht="12.6">
      <c r="D475" s="3"/>
    </row>
  </sheetData>
  <dataConsolidate/>
  <customSheetViews>
    <customSheetView guid="{CA7198DD-06BD-46F4-AC0D-6AD89E201AA3}" filter="1" showAutoFilter="1">
      <pageMargins left="0.7" right="0.7" top="0.75" bottom="0.75" header="0.3" footer="0.3"/>
      <autoFilter ref="A1:Q233">
        <filterColumn colId="3">
          <filters>
            <filter val="&lt;18"/>
          </filters>
        </filterColumn>
      </autoFilter>
    </customSheetView>
  </customSheetViews>
  <mergeCells count="9">
    <mergeCell ref="E233:F233"/>
    <mergeCell ref="C235:F238"/>
    <mergeCell ref="E226:F226"/>
    <mergeCell ref="E227:F227"/>
    <mergeCell ref="E228:F228"/>
    <mergeCell ref="E229:F229"/>
    <mergeCell ref="E230:F230"/>
    <mergeCell ref="E231:F231"/>
    <mergeCell ref="E232:F232"/>
  </mergeCell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Z208"/>
  <sheetViews>
    <sheetView topLeftCell="A7" workbookViewId="0">
      <selection activeCell="B16" sqref="B16"/>
    </sheetView>
  </sheetViews>
  <sheetFormatPr defaultColWidth="11.1796875" defaultRowHeight="15.75" customHeight="1"/>
  <cols>
    <col min="22" max="23" width="12.6328125" customWidth="1"/>
  </cols>
  <sheetData>
    <row r="1" spans="1:16" ht="15.75" customHeight="1">
      <c r="B1" s="24"/>
      <c r="C1" s="24"/>
      <c r="D1" s="24"/>
      <c r="E1" s="24"/>
    </row>
    <row r="2" spans="1:16" ht="15.75" customHeight="1">
      <c r="A2" s="25"/>
      <c r="B2" s="268" t="s">
        <v>185</v>
      </c>
      <c r="C2" s="254"/>
      <c r="D2" s="254"/>
      <c r="E2" s="254"/>
      <c r="F2" s="26"/>
      <c r="G2" s="26"/>
      <c r="H2" s="27"/>
      <c r="J2" s="26"/>
      <c r="K2" s="26"/>
      <c r="L2" s="28"/>
      <c r="M2" s="28"/>
    </row>
    <row r="3" spans="1:16" ht="15.75" customHeight="1">
      <c r="A3" s="25"/>
      <c r="B3" s="25"/>
      <c r="C3" s="25"/>
      <c r="D3" s="25"/>
      <c r="E3" s="26"/>
      <c r="F3" s="26"/>
      <c r="G3" s="26"/>
      <c r="H3" s="27"/>
      <c r="J3" s="26"/>
      <c r="K3" s="26"/>
      <c r="L3" s="28"/>
      <c r="M3" s="28"/>
    </row>
    <row r="4" spans="1:16" ht="15.75" customHeight="1">
      <c r="A4" s="25"/>
      <c r="B4" s="25"/>
      <c r="C4" s="25"/>
      <c r="D4" s="25"/>
      <c r="E4" s="26"/>
      <c r="F4" s="26"/>
      <c r="G4" s="26"/>
      <c r="H4" s="27"/>
      <c r="J4" s="26"/>
      <c r="K4" s="26"/>
      <c r="L4" s="28"/>
      <c r="M4" s="28"/>
    </row>
    <row r="5" spans="1:16" ht="15.75" customHeight="1">
      <c r="A5" s="25"/>
      <c r="B5" s="269" t="s">
        <v>186</v>
      </c>
      <c r="C5" s="270"/>
      <c r="D5" s="271"/>
      <c r="E5" s="26"/>
      <c r="F5" s="26"/>
      <c r="G5" s="26"/>
      <c r="H5" s="27"/>
      <c r="J5" s="26"/>
      <c r="K5" s="26"/>
      <c r="L5" s="28"/>
      <c r="M5" s="28"/>
    </row>
    <row r="6" spans="1:16" ht="15.75" customHeight="1">
      <c r="A6" s="26"/>
      <c r="B6" s="29"/>
      <c r="C6" s="30" t="s">
        <v>187</v>
      </c>
      <c r="D6" s="31" t="s">
        <v>188</v>
      </c>
      <c r="E6" s="26"/>
      <c r="F6" s="26"/>
      <c r="G6" s="26"/>
      <c r="H6" s="27"/>
      <c r="J6" s="26"/>
      <c r="K6" s="26"/>
      <c r="L6" s="28"/>
      <c r="M6" s="28"/>
    </row>
    <row r="7" spans="1:16" ht="15.75" customHeight="1">
      <c r="A7" s="26"/>
      <c r="B7" s="32" t="s">
        <v>18</v>
      </c>
      <c r="C7" s="33">
        <v>143</v>
      </c>
      <c r="D7" s="34">
        <f>C7*100/C10</f>
        <v>67.452830188679243</v>
      </c>
      <c r="E7" s="26"/>
      <c r="F7" s="35"/>
      <c r="G7" s="26"/>
      <c r="H7" s="27"/>
      <c r="J7" s="26"/>
      <c r="K7" s="26"/>
      <c r="L7" s="28"/>
      <c r="M7" s="28"/>
    </row>
    <row r="8" spans="1:16" ht="15.75" customHeight="1">
      <c r="A8" s="26"/>
      <c r="B8" s="36" t="s">
        <v>189</v>
      </c>
      <c r="C8" s="30">
        <v>67</v>
      </c>
      <c r="D8" s="34">
        <f>C8*100/C10</f>
        <v>31.60377358490566</v>
      </c>
      <c r="E8" s="23"/>
      <c r="F8" s="26"/>
      <c r="G8" s="16"/>
      <c r="H8" s="27"/>
      <c r="J8" s="26"/>
      <c r="K8" s="16"/>
      <c r="L8" s="37"/>
      <c r="M8" s="37"/>
    </row>
    <row r="9" spans="1:16" ht="15.75" customHeight="1">
      <c r="A9" s="26"/>
      <c r="B9" s="36" t="s">
        <v>79</v>
      </c>
      <c r="C9" s="30">
        <v>2</v>
      </c>
      <c r="D9" s="34">
        <f>C9*100/C10</f>
        <v>0.94339622641509435</v>
      </c>
    </row>
    <row r="10" spans="1:16" ht="15.75" customHeight="1">
      <c r="A10" s="26"/>
      <c r="B10" s="38" t="s">
        <v>190</v>
      </c>
      <c r="C10" s="30">
        <f t="shared" ref="C10:D10" si="0">SUM(C7:C9)</f>
        <v>212</v>
      </c>
      <c r="D10" s="31">
        <f t="shared" si="0"/>
        <v>99.999999999999986</v>
      </c>
    </row>
    <row r="11" spans="1:16" ht="15.75" customHeight="1">
      <c r="A11" s="16"/>
    </row>
    <row r="12" spans="1:16" ht="15.75" customHeight="1">
      <c r="A12" s="16"/>
      <c r="B12" s="16"/>
      <c r="C12" s="16"/>
      <c r="D12" s="16"/>
      <c r="E12" s="16"/>
    </row>
    <row r="13" spans="1:16" ht="15.75" customHeight="1">
      <c r="A13" s="16"/>
      <c r="B13" s="16"/>
      <c r="C13" s="16"/>
      <c r="D13" s="16"/>
      <c r="E13" s="16"/>
    </row>
    <row r="14" spans="1:16" ht="15.75" customHeight="1">
      <c r="A14" s="25"/>
      <c r="B14" s="255" t="s">
        <v>191</v>
      </c>
      <c r="C14" s="256"/>
      <c r="D14" s="252"/>
      <c r="E14" s="25"/>
      <c r="F14" s="255" t="s">
        <v>192</v>
      </c>
      <c r="G14" s="256"/>
      <c r="H14" s="252"/>
      <c r="I14" s="25"/>
      <c r="J14" s="255" t="s">
        <v>193</v>
      </c>
      <c r="K14" s="256"/>
      <c r="L14" s="252"/>
      <c r="M14" s="16"/>
      <c r="N14" s="255" t="s">
        <v>193</v>
      </c>
      <c r="O14" s="256"/>
      <c r="P14" s="252"/>
    </row>
    <row r="15" spans="1:16" ht="15.75" customHeight="1">
      <c r="A15" s="26"/>
      <c r="B15" s="29"/>
      <c r="C15" s="30" t="s">
        <v>194</v>
      </c>
      <c r="D15" s="39" t="s">
        <v>188</v>
      </c>
      <c r="E15" s="22"/>
      <c r="F15" s="40" t="s">
        <v>195</v>
      </c>
      <c r="G15" s="30" t="s">
        <v>194</v>
      </c>
      <c r="H15" s="39" t="s">
        <v>188</v>
      </c>
      <c r="I15" s="28"/>
      <c r="J15" s="40" t="s">
        <v>196</v>
      </c>
      <c r="K15" s="30" t="s">
        <v>194</v>
      </c>
      <c r="L15" s="39" t="s">
        <v>188</v>
      </c>
      <c r="M15" s="16"/>
      <c r="N15" s="40" t="s">
        <v>197</v>
      </c>
      <c r="O15" s="30" t="s">
        <v>194</v>
      </c>
      <c r="P15" s="39" t="s">
        <v>188</v>
      </c>
    </row>
    <row r="16" spans="1:16" ht="15.75" customHeight="1">
      <c r="A16" s="26"/>
      <c r="B16" s="41" t="s">
        <v>198</v>
      </c>
      <c r="C16" s="30">
        <v>45</v>
      </c>
      <c r="D16" s="31">
        <f>C16*100/C22</f>
        <v>21.226415094339622</v>
      </c>
      <c r="E16" s="22"/>
      <c r="F16" s="41" t="s">
        <v>198</v>
      </c>
      <c r="G16" s="30">
        <v>26</v>
      </c>
      <c r="H16" s="31">
        <f>G16*100/G22</f>
        <v>18.181818181818183</v>
      </c>
      <c r="I16" s="28"/>
      <c r="J16" s="41" t="s">
        <v>198</v>
      </c>
      <c r="K16" s="30">
        <v>19</v>
      </c>
      <c r="L16" s="31">
        <f>K16*100/K22</f>
        <v>28.35820895522388</v>
      </c>
      <c r="M16" s="16"/>
      <c r="N16" s="41" t="s">
        <v>198</v>
      </c>
      <c r="O16" s="30">
        <v>0</v>
      </c>
      <c r="P16" s="31">
        <f>O16*100/O22</f>
        <v>0</v>
      </c>
    </row>
    <row r="17" spans="1:24" ht="15.75" customHeight="1">
      <c r="A17" s="26"/>
      <c r="B17" s="41" t="s">
        <v>19</v>
      </c>
      <c r="C17" s="30">
        <v>148</v>
      </c>
      <c r="D17" s="31">
        <f>C17*100/C22</f>
        <v>69.811320754716988</v>
      </c>
      <c r="E17" s="22"/>
      <c r="F17" s="41" t="s">
        <v>19</v>
      </c>
      <c r="G17" s="30">
        <v>104</v>
      </c>
      <c r="H17" s="31">
        <f>G17*100/G22</f>
        <v>72.727272727272734</v>
      </c>
      <c r="I17" s="28"/>
      <c r="J17" s="41" t="s">
        <v>19</v>
      </c>
      <c r="K17" s="30">
        <v>42</v>
      </c>
      <c r="L17" s="31">
        <f>K17*100/K22</f>
        <v>62.686567164179102</v>
      </c>
      <c r="M17" s="16"/>
      <c r="N17" s="41" t="s">
        <v>19</v>
      </c>
      <c r="O17" s="30">
        <v>2</v>
      </c>
      <c r="P17" s="31">
        <f>O17*100/O22</f>
        <v>100</v>
      </c>
    </row>
    <row r="18" spans="1:24" ht="15.75" customHeight="1">
      <c r="A18" s="26"/>
      <c r="B18" s="41" t="s">
        <v>97</v>
      </c>
      <c r="C18" s="30">
        <v>5</v>
      </c>
      <c r="D18" s="31">
        <f>C18*100/C22</f>
        <v>2.358490566037736</v>
      </c>
      <c r="E18" s="22"/>
      <c r="F18" s="41" t="s">
        <v>97</v>
      </c>
      <c r="G18" s="30">
        <v>3</v>
      </c>
      <c r="H18" s="31">
        <f>G18*100/G22</f>
        <v>2.0979020979020979</v>
      </c>
      <c r="I18" s="28"/>
      <c r="J18" s="41" t="s">
        <v>97</v>
      </c>
      <c r="K18" s="30">
        <v>2</v>
      </c>
      <c r="L18" s="31">
        <f>K18*100/K22</f>
        <v>2.9850746268656718</v>
      </c>
      <c r="M18" s="16"/>
      <c r="N18" s="41" t="s">
        <v>97</v>
      </c>
      <c r="O18" s="30">
        <v>0</v>
      </c>
      <c r="P18" s="31">
        <f>O18*100/O22</f>
        <v>0</v>
      </c>
    </row>
    <row r="19" spans="1:24" ht="15.75" customHeight="1">
      <c r="A19" s="26"/>
      <c r="B19" s="41" t="s">
        <v>143</v>
      </c>
      <c r="C19" s="30">
        <v>1</v>
      </c>
      <c r="D19" s="31">
        <f>C19*100/C22</f>
        <v>0.47169811320754718</v>
      </c>
      <c r="E19" s="42"/>
      <c r="F19" s="41" t="s">
        <v>143</v>
      </c>
      <c r="G19" s="30">
        <v>0</v>
      </c>
      <c r="H19" s="31">
        <f>G19*100/G22</f>
        <v>0</v>
      </c>
      <c r="I19" s="37"/>
      <c r="J19" s="41" t="s">
        <v>143</v>
      </c>
      <c r="K19" s="30">
        <v>1</v>
      </c>
      <c r="L19" s="31">
        <f>K19*100/K22</f>
        <v>1.4925373134328359</v>
      </c>
      <c r="M19" s="16"/>
      <c r="N19" s="41" t="s">
        <v>143</v>
      </c>
      <c r="O19" s="30">
        <v>0</v>
      </c>
      <c r="P19" s="31">
        <f>O19*100/O22</f>
        <v>0</v>
      </c>
    </row>
    <row r="20" spans="1:24" ht="15.75" customHeight="1">
      <c r="A20" s="25"/>
      <c r="B20" s="43" t="s">
        <v>87</v>
      </c>
      <c r="C20" s="40">
        <v>6</v>
      </c>
      <c r="D20" s="31">
        <f>C20*100/C22</f>
        <v>2.8301886792452828</v>
      </c>
      <c r="E20" s="25"/>
      <c r="F20" s="43" t="s">
        <v>87</v>
      </c>
      <c r="G20" s="40">
        <v>5</v>
      </c>
      <c r="H20" s="31">
        <f>G20*100/G22</f>
        <v>3.4965034965034967</v>
      </c>
      <c r="I20" s="25"/>
      <c r="J20" s="43" t="s">
        <v>87</v>
      </c>
      <c r="K20" s="40">
        <v>1</v>
      </c>
      <c r="L20" s="31">
        <f>K20*100/K22</f>
        <v>1.4925373134328359</v>
      </c>
      <c r="M20" s="16"/>
      <c r="N20" s="43" t="s">
        <v>87</v>
      </c>
      <c r="O20" s="40">
        <v>0</v>
      </c>
      <c r="P20" s="31">
        <f>O20*100/O22</f>
        <v>0</v>
      </c>
    </row>
    <row r="21" spans="1:24" ht="15.75" customHeight="1">
      <c r="A21" s="25"/>
      <c r="B21" s="43" t="s">
        <v>199</v>
      </c>
      <c r="C21" s="40">
        <v>7</v>
      </c>
      <c r="D21" s="31">
        <f>C21*100/C22</f>
        <v>3.3018867924528301</v>
      </c>
      <c r="E21" s="25"/>
      <c r="F21" s="43" t="s">
        <v>199</v>
      </c>
      <c r="G21" s="40">
        <v>5</v>
      </c>
      <c r="H21" s="31">
        <f>G21*100/G22</f>
        <v>3.4965034965034967</v>
      </c>
      <c r="I21" s="25"/>
      <c r="J21" s="43" t="s">
        <v>199</v>
      </c>
      <c r="K21" s="40">
        <v>2</v>
      </c>
      <c r="L21" s="31">
        <f>K21*100/K22</f>
        <v>2.9850746268656718</v>
      </c>
      <c r="M21" s="16"/>
      <c r="N21" s="43" t="s">
        <v>199</v>
      </c>
      <c r="O21" s="44">
        <v>0</v>
      </c>
      <c r="P21" s="31">
        <f>O21*100/O22</f>
        <v>0</v>
      </c>
    </row>
    <row r="22" spans="1:24" ht="15.75" customHeight="1">
      <c r="A22" s="25"/>
      <c r="B22" s="38" t="s">
        <v>200</v>
      </c>
      <c r="C22" s="40">
        <f t="shared" ref="C22:D22" si="1">SUM(C16:C21)</f>
        <v>212</v>
      </c>
      <c r="D22" s="31">
        <f t="shared" si="1"/>
        <v>100.00000000000001</v>
      </c>
      <c r="E22" s="25"/>
      <c r="F22" s="38" t="s">
        <v>200</v>
      </c>
      <c r="G22" s="40">
        <f t="shared" ref="G22:H22" si="2">SUM(G16:G21)</f>
        <v>143</v>
      </c>
      <c r="H22" s="31">
        <f t="shared" si="2"/>
        <v>100</v>
      </c>
      <c r="I22" s="25"/>
      <c r="J22" s="38" t="s">
        <v>200</v>
      </c>
      <c r="K22" s="40">
        <f t="shared" ref="K22:L22" si="3">SUM(K16:K21)</f>
        <v>67</v>
      </c>
      <c r="L22" s="31">
        <f t="shared" si="3"/>
        <v>99.999999999999986</v>
      </c>
      <c r="M22" s="16"/>
      <c r="N22" s="38" t="s">
        <v>200</v>
      </c>
      <c r="O22" s="40">
        <f t="shared" ref="O22:P22" si="4">SUM(O16:O21)</f>
        <v>2</v>
      </c>
      <c r="P22" s="31">
        <f t="shared" si="4"/>
        <v>100</v>
      </c>
    </row>
    <row r="23" spans="1:24" ht="15.75" customHeight="1">
      <c r="A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16"/>
      <c r="N23" s="45"/>
      <c r="O23" s="45"/>
      <c r="P23" s="45"/>
    </row>
    <row r="24" spans="1:24" ht="15.75" customHeight="1">
      <c r="A24" s="25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N24" s="25"/>
      <c r="O24" s="25"/>
      <c r="P24" s="25"/>
      <c r="Q24" s="16"/>
      <c r="R24" s="25"/>
      <c r="S24" s="25"/>
      <c r="T24" s="25"/>
      <c r="V24" s="25"/>
      <c r="W24" s="25"/>
      <c r="X24" s="25"/>
    </row>
    <row r="25" spans="1:24" ht="15.75" customHeight="1">
      <c r="A25" s="25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N25" s="25"/>
      <c r="O25" s="25"/>
      <c r="P25" s="25"/>
      <c r="Q25" s="16"/>
      <c r="R25" s="25"/>
      <c r="S25" s="25"/>
      <c r="T25" s="25"/>
      <c r="V25" s="25"/>
      <c r="W25" s="25"/>
      <c r="X25" s="25"/>
    </row>
    <row r="26" spans="1:24" ht="15.75" customHeight="1">
      <c r="A26" s="25"/>
      <c r="B26" s="255" t="s">
        <v>201</v>
      </c>
      <c r="C26" s="256"/>
      <c r="D26" s="252"/>
      <c r="E26" s="25"/>
      <c r="F26" s="255" t="s">
        <v>202</v>
      </c>
      <c r="G26" s="256"/>
      <c r="H26" s="252"/>
      <c r="I26" s="25"/>
      <c r="J26" s="255" t="s">
        <v>203</v>
      </c>
      <c r="K26" s="256"/>
      <c r="L26" s="252"/>
      <c r="N26" s="255" t="s">
        <v>204</v>
      </c>
      <c r="O26" s="256"/>
      <c r="P26" s="252"/>
      <c r="R26" s="255" t="s">
        <v>205</v>
      </c>
      <c r="S26" s="256"/>
      <c r="T26" s="256"/>
      <c r="U26" s="256"/>
      <c r="V26" s="256"/>
      <c r="W26" s="256"/>
      <c r="X26" s="252"/>
    </row>
    <row r="27" spans="1:24" ht="15.75" customHeight="1">
      <c r="A27" s="26"/>
      <c r="B27" s="29"/>
      <c r="C27" s="40" t="s">
        <v>194</v>
      </c>
      <c r="D27" s="40" t="s">
        <v>188</v>
      </c>
      <c r="E27" s="26"/>
      <c r="F27" s="46"/>
      <c r="G27" s="33" t="s">
        <v>194</v>
      </c>
      <c r="H27" s="31" t="s">
        <v>188</v>
      </c>
      <c r="I27" s="22"/>
      <c r="J27" s="47"/>
      <c r="K27" s="31" t="s">
        <v>194</v>
      </c>
      <c r="L27" s="31" t="s">
        <v>188</v>
      </c>
      <c r="N27" s="48"/>
      <c r="O27" s="30" t="s">
        <v>194</v>
      </c>
      <c r="P27" s="30" t="s">
        <v>188</v>
      </c>
      <c r="R27" s="48"/>
      <c r="S27" s="30" t="s">
        <v>206</v>
      </c>
      <c r="T27" s="30" t="s">
        <v>188</v>
      </c>
      <c r="U27" s="30" t="s">
        <v>207</v>
      </c>
      <c r="V27" s="40" t="s">
        <v>188</v>
      </c>
      <c r="W27" s="40" t="s">
        <v>208</v>
      </c>
      <c r="X27" s="40" t="s">
        <v>200</v>
      </c>
    </row>
    <row r="28" spans="1:24" ht="15.75" customHeight="1">
      <c r="A28" s="26"/>
      <c r="B28" s="41" t="s">
        <v>18</v>
      </c>
      <c r="C28" s="40">
        <v>143</v>
      </c>
      <c r="D28" s="49">
        <f>C28*100/C31</f>
        <v>67.452830188679243</v>
      </c>
      <c r="E28" s="26"/>
      <c r="F28" s="32" t="s">
        <v>20</v>
      </c>
      <c r="G28" s="33">
        <v>117</v>
      </c>
      <c r="H28" s="31">
        <f>G28*100/G30</f>
        <v>81.818181818181813</v>
      </c>
      <c r="I28" s="22"/>
      <c r="J28" s="50" t="s">
        <v>20</v>
      </c>
      <c r="K28" s="31">
        <v>58</v>
      </c>
      <c r="L28" s="51">
        <f>K28*100/K30</f>
        <v>86.567164179104481</v>
      </c>
      <c r="N28" s="41" t="s">
        <v>20</v>
      </c>
      <c r="O28" s="30">
        <v>1</v>
      </c>
      <c r="P28" s="52">
        <f>O28*100/O30</f>
        <v>50</v>
      </c>
      <c r="R28" s="41" t="s">
        <v>18</v>
      </c>
      <c r="S28" s="30">
        <v>117</v>
      </c>
      <c r="T28" s="31">
        <f>117*100/X28</f>
        <v>81.818181818181813</v>
      </c>
      <c r="U28" s="30">
        <v>26</v>
      </c>
      <c r="V28" s="49">
        <f>26*100/143</f>
        <v>18.181818181818183</v>
      </c>
      <c r="W28" s="49">
        <f t="shared" ref="W28:W30" si="5">SUM(T28+V28)</f>
        <v>100</v>
      </c>
      <c r="X28" s="49">
        <f t="shared" ref="X28:X30" si="6">SUM(S28+U28)</f>
        <v>143</v>
      </c>
    </row>
    <row r="29" spans="1:24" ht="15.75" customHeight="1">
      <c r="A29" s="26"/>
      <c r="B29" s="41" t="s">
        <v>28</v>
      </c>
      <c r="C29" s="40">
        <v>67</v>
      </c>
      <c r="D29" s="49">
        <f>C29*100/C31</f>
        <v>31.60377358490566</v>
      </c>
      <c r="E29" s="26"/>
      <c r="F29" s="41" t="s">
        <v>30</v>
      </c>
      <c r="G29" s="30">
        <v>26</v>
      </c>
      <c r="H29" s="31">
        <f>G29*100/G30</f>
        <v>18.181818181818183</v>
      </c>
      <c r="I29" s="22"/>
      <c r="J29" s="50" t="s">
        <v>30</v>
      </c>
      <c r="K29" s="31">
        <v>9</v>
      </c>
      <c r="L29" s="51">
        <f>K29*100/K30</f>
        <v>13.432835820895523</v>
      </c>
      <c r="N29" s="41" t="s">
        <v>30</v>
      </c>
      <c r="O29" s="30">
        <v>1</v>
      </c>
      <c r="P29" s="52">
        <f>O29*100/O30</f>
        <v>50</v>
      </c>
      <c r="R29" s="41" t="s">
        <v>189</v>
      </c>
      <c r="S29" s="30">
        <v>58</v>
      </c>
      <c r="T29" s="51">
        <f>58*100/67</f>
        <v>86.567164179104481</v>
      </c>
      <c r="U29" s="30">
        <v>9</v>
      </c>
      <c r="V29" s="49">
        <f>9*100/67</f>
        <v>13.432835820895523</v>
      </c>
      <c r="W29" s="49">
        <f t="shared" si="5"/>
        <v>100</v>
      </c>
      <c r="X29" s="19">
        <f t="shared" si="6"/>
        <v>67</v>
      </c>
    </row>
    <row r="30" spans="1:24" ht="15.75" customHeight="1">
      <c r="A30" s="26"/>
      <c r="B30" s="41" t="s">
        <v>79</v>
      </c>
      <c r="C30" s="40">
        <v>2</v>
      </c>
      <c r="D30" s="49">
        <f>C30*100/C31</f>
        <v>0.94339622641509435</v>
      </c>
      <c r="E30" s="26"/>
      <c r="F30" s="29" t="s">
        <v>190</v>
      </c>
      <c r="G30" s="30">
        <f t="shared" ref="G30:H30" si="7">SUM(G28:G29)</f>
        <v>143</v>
      </c>
      <c r="H30" s="31">
        <f t="shared" si="7"/>
        <v>100</v>
      </c>
      <c r="I30" s="22"/>
      <c r="J30" s="53" t="s">
        <v>190</v>
      </c>
      <c r="K30" s="31">
        <f t="shared" ref="K30:L30" si="8">SUM(K28:K29)</f>
        <v>67</v>
      </c>
      <c r="L30" s="51">
        <f t="shared" si="8"/>
        <v>100</v>
      </c>
      <c r="N30" s="38" t="s">
        <v>200</v>
      </c>
      <c r="O30" s="30">
        <f t="shared" ref="O30:P30" si="9">SUM(O28:O29)</f>
        <v>2</v>
      </c>
      <c r="P30" s="52">
        <f t="shared" si="9"/>
        <v>100</v>
      </c>
      <c r="R30" s="41" t="s">
        <v>79</v>
      </c>
      <c r="S30" s="30">
        <v>1</v>
      </c>
      <c r="T30" s="51">
        <f>1*100/2</f>
        <v>50</v>
      </c>
      <c r="U30" s="30">
        <v>1</v>
      </c>
      <c r="V30" s="40">
        <f>1*100/2</f>
        <v>50</v>
      </c>
      <c r="W30" s="49">
        <f t="shared" si="5"/>
        <v>100</v>
      </c>
      <c r="X30" s="54">
        <f t="shared" si="6"/>
        <v>2</v>
      </c>
    </row>
    <row r="31" spans="1:24" ht="15.75" customHeight="1">
      <c r="A31" s="26"/>
      <c r="B31" s="29" t="s">
        <v>200</v>
      </c>
      <c r="C31" s="40">
        <f t="shared" ref="C31:D31" si="10">SUM(C28:C30)</f>
        <v>212</v>
      </c>
      <c r="D31" s="49">
        <f t="shared" si="10"/>
        <v>99.999999999999986</v>
      </c>
      <c r="E31" s="26"/>
      <c r="F31" s="26"/>
      <c r="H31" s="55"/>
      <c r="I31" s="22"/>
      <c r="J31" s="22"/>
      <c r="K31" s="22"/>
      <c r="R31" s="38" t="s">
        <v>200</v>
      </c>
      <c r="S31" s="52">
        <f>SUM(S28:S30)</f>
        <v>176</v>
      </c>
      <c r="T31" s="56"/>
      <c r="U31" s="52">
        <f>SUM(U28:U30)</f>
        <v>36</v>
      </c>
      <c r="V31" s="45"/>
      <c r="W31" s="57"/>
      <c r="X31" s="54">
        <f>SUM(X28:X30)</f>
        <v>212</v>
      </c>
    </row>
    <row r="32" spans="1:24" ht="15.75" customHeight="1">
      <c r="A32" s="26"/>
      <c r="B32" s="23"/>
      <c r="C32" s="23"/>
      <c r="D32" s="23"/>
      <c r="E32" s="23"/>
      <c r="F32" s="23"/>
      <c r="H32" s="55"/>
      <c r="I32" s="22"/>
      <c r="J32" s="22"/>
      <c r="K32" s="22"/>
    </row>
    <row r="33" spans="1:25" ht="15.75" customHeight="1">
      <c r="A33" s="26"/>
      <c r="B33" s="23"/>
      <c r="C33" s="23"/>
      <c r="D33" s="23"/>
      <c r="E33" s="23"/>
      <c r="F33" s="23"/>
      <c r="K33" s="22"/>
    </row>
    <row r="34" spans="1:25" ht="15.75" customHeight="1">
      <c r="A34" s="16"/>
      <c r="J34" s="254"/>
      <c r="K34" s="254"/>
      <c r="L34" s="254"/>
    </row>
    <row r="35" spans="1:25" ht="15.75" customHeight="1">
      <c r="A35" s="25"/>
      <c r="B35" s="255" t="s">
        <v>209</v>
      </c>
      <c r="C35" s="256"/>
      <c r="D35" s="252"/>
      <c r="E35" s="26"/>
      <c r="F35" s="255" t="s">
        <v>210</v>
      </c>
      <c r="G35" s="256"/>
      <c r="H35" s="252"/>
      <c r="J35" s="255" t="s">
        <v>211</v>
      </c>
      <c r="K35" s="256"/>
      <c r="L35" s="252"/>
      <c r="N35" s="255" t="s">
        <v>212</v>
      </c>
      <c r="O35" s="256"/>
      <c r="P35" s="252"/>
    </row>
    <row r="36" spans="1:25" ht="15.75" customHeight="1">
      <c r="A36" s="16"/>
      <c r="B36" s="48"/>
      <c r="C36" s="30" t="s">
        <v>194</v>
      </c>
      <c r="D36" s="30" t="s">
        <v>188</v>
      </c>
      <c r="F36" s="48"/>
      <c r="G36" s="30" t="s">
        <v>194</v>
      </c>
      <c r="H36" s="30" t="s">
        <v>188</v>
      </c>
      <c r="J36" s="48"/>
      <c r="K36" s="30" t="s">
        <v>194</v>
      </c>
      <c r="L36" s="30" t="s">
        <v>188</v>
      </c>
      <c r="N36" s="48"/>
      <c r="O36" s="30" t="s">
        <v>194</v>
      </c>
      <c r="P36" s="30" t="s">
        <v>188</v>
      </c>
      <c r="W36" s="25"/>
      <c r="X36" s="25"/>
      <c r="Y36" s="25"/>
    </row>
    <row r="37" spans="1:25" ht="15.75" customHeight="1">
      <c r="A37" s="26"/>
      <c r="B37" s="41" t="s">
        <v>21</v>
      </c>
      <c r="C37" s="30">
        <v>39</v>
      </c>
      <c r="D37" s="51">
        <f>C37*100/C49</f>
        <v>20.103092783505154</v>
      </c>
      <c r="F37" s="41" t="s">
        <v>21</v>
      </c>
      <c r="G37" s="30">
        <v>29</v>
      </c>
      <c r="H37" s="51">
        <f>G37*100/G49</f>
        <v>21.969696969696969</v>
      </c>
      <c r="J37" s="41" t="s">
        <v>21</v>
      </c>
      <c r="K37" s="30">
        <v>10</v>
      </c>
      <c r="L37" s="51">
        <f>K37*100/K49</f>
        <v>16.129032258064516</v>
      </c>
      <c r="N37" s="41" t="s">
        <v>21</v>
      </c>
      <c r="O37" s="30">
        <v>0</v>
      </c>
      <c r="P37" s="51">
        <f>O37*100/O49</f>
        <v>0</v>
      </c>
      <c r="W37" s="16"/>
      <c r="X37" s="45"/>
      <c r="Y37" s="45"/>
    </row>
    <row r="38" spans="1:25" ht="15.75" customHeight="1">
      <c r="A38" s="26"/>
      <c r="B38" s="41" t="s">
        <v>74</v>
      </c>
      <c r="C38" s="30">
        <v>8</v>
      </c>
      <c r="D38" s="51">
        <f>C38*100/C49</f>
        <v>4.1237113402061851</v>
      </c>
      <c r="F38" s="41" t="s">
        <v>74</v>
      </c>
      <c r="G38" s="30">
        <v>3</v>
      </c>
      <c r="H38" s="51">
        <f>G38*100/G49</f>
        <v>2.2727272727272729</v>
      </c>
      <c r="J38" s="41" t="s">
        <v>74</v>
      </c>
      <c r="K38" s="30">
        <v>5</v>
      </c>
      <c r="L38" s="51">
        <f>K38*100/K49</f>
        <v>8.064516129032258</v>
      </c>
      <c r="N38" s="41" t="s">
        <v>74</v>
      </c>
      <c r="O38" s="30">
        <v>0</v>
      </c>
      <c r="P38" s="51">
        <f>O38*100/O49</f>
        <v>0</v>
      </c>
      <c r="W38" s="26"/>
      <c r="X38" s="26"/>
      <c r="Y38" s="58"/>
    </row>
    <row r="39" spans="1:25" ht="15.75" customHeight="1">
      <c r="A39" s="26"/>
      <c r="B39" s="41" t="s">
        <v>58</v>
      </c>
      <c r="C39" s="30">
        <v>1</v>
      </c>
      <c r="D39" s="51">
        <f>C39*100/C49</f>
        <v>0.51546391752577314</v>
      </c>
      <c r="F39" s="41" t="s">
        <v>58</v>
      </c>
      <c r="G39" s="30">
        <v>1</v>
      </c>
      <c r="H39" s="51">
        <f>G39*100/G49</f>
        <v>0.75757575757575757</v>
      </c>
      <c r="J39" s="41" t="s">
        <v>58</v>
      </c>
      <c r="K39" s="30">
        <v>0</v>
      </c>
      <c r="L39" s="51">
        <f>K39*100/K49</f>
        <v>0</v>
      </c>
      <c r="N39" s="41" t="s">
        <v>58</v>
      </c>
      <c r="O39" s="30">
        <v>0</v>
      </c>
      <c r="P39" s="51">
        <f>O39*100/O49</f>
        <v>0</v>
      </c>
      <c r="W39" s="26"/>
      <c r="X39" s="26"/>
      <c r="Y39" s="16"/>
    </row>
    <row r="40" spans="1:25" ht="15.75" customHeight="1">
      <c r="A40" s="26"/>
      <c r="B40" s="41" t="s">
        <v>132</v>
      </c>
      <c r="C40" s="30">
        <v>2</v>
      </c>
      <c r="D40" s="51">
        <f>C40*100/C49</f>
        <v>1.0309278350515463</v>
      </c>
      <c r="F40" s="41" t="s">
        <v>132</v>
      </c>
      <c r="G40" s="30">
        <v>1</v>
      </c>
      <c r="H40" s="51">
        <f>G40*100/G49</f>
        <v>0.75757575757575757</v>
      </c>
      <c r="I40" s="25"/>
      <c r="J40" s="41" t="s">
        <v>132</v>
      </c>
      <c r="K40" s="30">
        <v>1</v>
      </c>
      <c r="L40" s="51">
        <f>K40*100/K49</f>
        <v>1.6129032258064515</v>
      </c>
      <c r="M40" s="25"/>
      <c r="N40" s="41" t="s">
        <v>132</v>
      </c>
      <c r="O40" s="30">
        <v>0</v>
      </c>
      <c r="P40" s="51">
        <f>O40*100/O49</f>
        <v>0</v>
      </c>
      <c r="W40" s="26"/>
      <c r="X40" s="26"/>
      <c r="Y40" s="58"/>
    </row>
    <row r="41" spans="1:25" ht="15.75" customHeight="1">
      <c r="A41" s="26"/>
      <c r="B41" s="41" t="s">
        <v>35</v>
      </c>
      <c r="C41" s="30">
        <v>62</v>
      </c>
      <c r="D41" s="51">
        <f>C41*100/C49</f>
        <v>31.958762886597938</v>
      </c>
      <c r="F41" s="41" t="s">
        <v>35</v>
      </c>
      <c r="G41" s="30">
        <v>47</v>
      </c>
      <c r="H41" s="51">
        <f>G41*100/G49</f>
        <v>35.606060606060609</v>
      </c>
      <c r="I41" s="25"/>
      <c r="J41" s="41" t="s">
        <v>35</v>
      </c>
      <c r="K41" s="30">
        <v>15</v>
      </c>
      <c r="L41" s="51">
        <f>K41*100/K49</f>
        <v>24.193548387096776</v>
      </c>
      <c r="M41" s="25"/>
      <c r="N41" s="41" t="s">
        <v>35</v>
      </c>
      <c r="O41" s="30">
        <v>0</v>
      </c>
      <c r="P41" s="51">
        <f>O41*100/O49</f>
        <v>0</v>
      </c>
      <c r="W41" s="26"/>
      <c r="X41" s="16"/>
      <c r="Y41" s="16"/>
    </row>
    <row r="42" spans="1:25" ht="15.75" customHeight="1">
      <c r="A42" s="26"/>
      <c r="B42" s="41" t="s">
        <v>179</v>
      </c>
      <c r="C42" s="30">
        <v>2</v>
      </c>
      <c r="D42" s="51">
        <f>C42*100/C49</f>
        <v>1.0309278350515463</v>
      </c>
      <c r="F42" s="41" t="s">
        <v>179</v>
      </c>
      <c r="G42" s="30">
        <v>2</v>
      </c>
      <c r="H42" s="51">
        <f>G42*100/G49</f>
        <v>1.5151515151515151</v>
      </c>
      <c r="I42" s="25"/>
      <c r="J42" s="41" t="s">
        <v>179</v>
      </c>
      <c r="K42" s="30">
        <v>0</v>
      </c>
      <c r="L42" s="51">
        <f>K42*100/K49</f>
        <v>0</v>
      </c>
      <c r="M42" s="25"/>
      <c r="N42" s="41" t="s">
        <v>179</v>
      </c>
      <c r="O42" s="30">
        <v>0</v>
      </c>
      <c r="P42" s="51">
        <f>O42*100/O49</f>
        <v>0</v>
      </c>
    </row>
    <row r="43" spans="1:25" ht="15.75" customHeight="1">
      <c r="A43" s="26"/>
      <c r="B43" s="41" t="s">
        <v>148</v>
      </c>
      <c r="C43" s="30">
        <v>3</v>
      </c>
      <c r="D43" s="51">
        <f>C43*100/C49</f>
        <v>1.5463917525773196</v>
      </c>
      <c r="F43" s="41" t="s">
        <v>148</v>
      </c>
      <c r="G43" s="30">
        <v>2</v>
      </c>
      <c r="H43" s="51">
        <f>G43*100/G49</f>
        <v>1.5151515151515151</v>
      </c>
      <c r="I43" s="25"/>
      <c r="J43" s="41" t="s">
        <v>148</v>
      </c>
      <c r="K43" s="30">
        <v>1</v>
      </c>
      <c r="L43" s="51">
        <f>K43*100/K49</f>
        <v>1.6129032258064515</v>
      </c>
      <c r="M43" s="25"/>
      <c r="N43" s="41" t="s">
        <v>148</v>
      </c>
      <c r="O43" s="30">
        <v>0</v>
      </c>
      <c r="P43" s="51">
        <f>O43*100/O49</f>
        <v>0</v>
      </c>
    </row>
    <row r="44" spans="1:25" ht="15.75" customHeight="1">
      <c r="A44" s="26"/>
      <c r="B44" s="41" t="s">
        <v>82</v>
      </c>
      <c r="C44" s="30">
        <v>3</v>
      </c>
      <c r="D44" s="51">
        <f>C44*100/C49</f>
        <v>1.5463917525773196</v>
      </c>
      <c r="F44" s="41" t="s">
        <v>82</v>
      </c>
      <c r="G44" s="30">
        <v>1</v>
      </c>
      <c r="H44" s="51">
        <f>G44*100/G49</f>
        <v>0.75757575757575757</v>
      </c>
      <c r="I44" s="25"/>
      <c r="J44" s="41" t="s">
        <v>82</v>
      </c>
      <c r="K44" s="30">
        <v>2</v>
      </c>
      <c r="L44" s="51">
        <f>K44*100/K49</f>
        <v>3.225806451612903</v>
      </c>
      <c r="M44" s="25"/>
      <c r="N44" s="41" t="s">
        <v>82</v>
      </c>
      <c r="O44" s="30">
        <v>0</v>
      </c>
      <c r="P44" s="51">
        <f>O44*100/O49</f>
        <v>0</v>
      </c>
    </row>
    <row r="45" spans="1:25" ht="15.75" customHeight="1">
      <c r="A45" s="26"/>
      <c r="B45" s="41" t="s">
        <v>32</v>
      </c>
      <c r="C45" s="30">
        <v>21</v>
      </c>
      <c r="D45" s="51">
        <f>C45*100/C49</f>
        <v>10.824742268041238</v>
      </c>
      <c r="F45" s="41" t="s">
        <v>32</v>
      </c>
      <c r="G45" s="30">
        <v>15</v>
      </c>
      <c r="H45" s="51">
        <f>G45*100/G49</f>
        <v>11.363636363636363</v>
      </c>
      <c r="I45" s="25"/>
      <c r="J45" s="41" t="s">
        <v>32</v>
      </c>
      <c r="K45" s="30">
        <v>6</v>
      </c>
      <c r="L45" s="51">
        <f>K45*100/K49</f>
        <v>9.67741935483871</v>
      </c>
      <c r="M45" s="25"/>
      <c r="N45" s="41" t="s">
        <v>32</v>
      </c>
      <c r="O45" s="30">
        <v>1</v>
      </c>
      <c r="P45" s="51">
        <f>O45*100/O49</f>
        <v>100</v>
      </c>
    </row>
    <row r="46" spans="1:25" ht="15.75" customHeight="1">
      <c r="A46" s="26"/>
      <c r="B46" s="41" t="s">
        <v>39</v>
      </c>
      <c r="C46" s="30">
        <v>45</v>
      </c>
      <c r="D46" s="51">
        <f>C46*100/C49</f>
        <v>23.195876288659793</v>
      </c>
      <c r="F46" s="41" t="s">
        <v>39</v>
      </c>
      <c r="G46" s="30">
        <v>24</v>
      </c>
      <c r="H46" s="51">
        <f>G46*100/G49</f>
        <v>18.181818181818183</v>
      </c>
      <c r="I46" s="25"/>
      <c r="J46" s="41" t="s">
        <v>39</v>
      </c>
      <c r="K46" s="30">
        <v>21</v>
      </c>
      <c r="L46" s="51">
        <f>K46*100/K49</f>
        <v>33.87096774193548</v>
      </c>
      <c r="M46" s="25"/>
      <c r="N46" s="41" t="s">
        <v>39</v>
      </c>
      <c r="O46" s="30">
        <v>0</v>
      </c>
      <c r="P46" s="51">
        <f>O46*100/O49</f>
        <v>0</v>
      </c>
    </row>
    <row r="47" spans="1:25" ht="12.6">
      <c r="A47" s="26"/>
      <c r="B47" s="41" t="s">
        <v>83</v>
      </c>
      <c r="C47" s="30">
        <v>5</v>
      </c>
      <c r="D47" s="51">
        <f>C47*100/C49</f>
        <v>2.5773195876288661</v>
      </c>
      <c r="F47" s="41" t="s">
        <v>83</v>
      </c>
      <c r="G47" s="30">
        <v>4</v>
      </c>
      <c r="H47" s="51">
        <f>G47*100/G49</f>
        <v>3.0303030303030303</v>
      </c>
      <c r="J47" s="41" t="s">
        <v>83</v>
      </c>
      <c r="K47" s="30">
        <v>1</v>
      </c>
      <c r="L47" s="51">
        <f>K47*100/K49</f>
        <v>1.6129032258064515</v>
      </c>
      <c r="M47" s="23"/>
      <c r="N47" s="41" t="s">
        <v>83</v>
      </c>
      <c r="O47" s="30">
        <v>0</v>
      </c>
      <c r="P47" s="51">
        <f>O47*100/O49</f>
        <v>0</v>
      </c>
    </row>
    <row r="48" spans="1:25" ht="12.6">
      <c r="A48" s="26"/>
      <c r="B48" s="41" t="s">
        <v>89</v>
      </c>
      <c r="C48" s="30">
        <v>3</v>
      </c>
      <c r="D48" s="51">
        <f>C48*100/C49</f>
        <v>1.5463917525773196</v>
      </c>
      <c r="F48" s="41" t="s">
        <v>89</v>
      </c>
      <c r="G48" s="30">
        <v>3</v>
      </c>
      <c r="H48" s="51">
        <f>G48*100/G49</f>
        <v>2.2727272727272729</v>
      </c>
      <c r="J48" s="41" t="s">
        <v>89</v>
      </c>
      <c r="K48" s="30">
        <v>0</v>
      </c>
      <c r="L48" s="51">
        <f>K48*100/K49</f>
        <v>0</v>
      </c>
      <c r="N48" s="41" t="s">
        <v>89</v>
      </c>
      <c r="O48" s="30">
        <v>0</v>
      </c>
      <c r="P48" s="51">
        <f>O48*100/O49</f>
        <v>0</v>
      </c>
    </row>
    <row r="49" spans="1:20" ht="12.6">
      <c r="A49" s="23"/>
      <c r="B49" s="38" t="s">
        <v>200</v>
      </c>
      <c r="C49" s="30">
        <f t="shared" ref="C49:D49" si="11">SUM(C37:C48)</f>
        <v>194</v>
      </c>
      <c r="D49" s="51">
        <f t="shared" si="11"/>
        <v>99.999999999999986</v>
      </c>
      <c r="F49" s="38" t="s">
        <v>200</v>
      </c>
      <c r="G49" s="30">
        <f t="shared" ref="G49:H49" si="12">SUM(G37:G48)</f>
        <v>132</v>
      </c>
      <c r="H49" s="51">
        <f t="shared" si="12"/>
        <v>99.999999999999986</v>
      </c>
      <c r="J49" s="38" t="s">
        <v>200</v>
      </c>
      <c r="K49" s="30">
        <f t="shared" ref="K49:L49" si="13">SUM(K37:K48)</f>
        <v>62</v>
      </c>
      <c r="L49" s="51">
        <f t="shared" si="13"/>
        <v>99.999999999999986</v>
      </c>
      <c r="N49" s="38" t="s">
        <v>200</v>
      </c>
      <c r="O49" s="30">
        <f t="shared" ref="O49:P49" si="14">SUM(O37:O48)</f>
        <v>1</v>
      </c>
      <c r="P49" s="51">
        <f t="shared" si="14"/>
        <v>100</v>
      </c>
    </row>
    <row r="53" spans="1:20" ht="12.6">
      <c r="A53" s="25"/>
      <c r="B53" s="255" t="s">
        <v>213</v>
      </c>
      <c r="C53" s="256"/>
      <c r="D53" s="256"/>
      <c r="E53" s="252"/>
      <c r="G53" s="255" t="s">
        <v>214</v>
      </c>
      <c r="H53" s="256"/>
      <c r="I53" s="256"/>
      <c r="J53" s="252"/>
      <c r="L53" s="255" t="s">
        <v>215</v>
      </c>
      <c r="M53" s="256"/>
      <c r="N53" s="256"/>
      <c r="O53" s="252"/>
      <c r="Q53" s="255" t="s">
        <v>216</v>
      </c>
      <c r="R53" s="256"/>
      <c r="S53" s="256"/>
      <c r="T53" s="252"/>
    </row>
    <row r="54" spans="1:20" ht="12.6">
      <c r="A54" s="16"/>
      <c r="B54" s="258"/>
      <c r="C54" s="252"/>
      <c r="D54" s="30" t="s">
        <v>194</v>
      </c>
      <c r="E54" s="30" t="s">
        <v>188</v>
      </c>
      <c r="G54" s="272" t="s">
        <v>195</v>
      </c>
      <c r="H54" s="252"/>
      <c r="I54" s="29" t="s">
        <v>194</v>
      </c>
      <c r="J54" s="29" t="s">
        <v>188</v>
      </c>
      <c r="L54" s="272" t="s">
        <v>196</v>
      </c>
      <c r="M54" s="252"/>
      <c r="N54" s="40" t="s">
        <v>194</v>
      </c>
      <c r="O54" s="40" t="s">
        <v>188</v>
      </c>
      <c r="Q54" s="272" t="s">
        <v>197</v>
      </c>
      <c r="R54" s="252"/>
      <c r="S54" s="40" t="s">
        <v>194</v>
      </c>
      <c r="T54" s="40" t="s">
        <v>188</v>
      </c>
    </row>
    <row r="55" spans="1:20" ht="12.6">
      <c r="A55" s="26"/>
      <c r="B55" s="265" t="s">
        <v>217</v>
      </c>
      <c r="C55" s="252"/>
      <c r="D55" s="30">
        <v>15</v>
      </c>
      <c r="E55" s="51">
        <f>D55*100/D59</f>
        <v>7.3529411764705879</v>
      </c>
      <c r="G55" s="265" t="s">
        <v>217</v>
      </c>
      <c r="H55" s="252"/>
      <c r="I55" s="30">
        <v>7</v>
      </c>
      <c r="J55" s="51">
        <f>I55*100/I59</f>
        <v>5.0724637681159424</v>
      </c>
      <c r="L55" s="265" t="s">
        <v>217</v>
      </c>
      <c r="M55" s="252"/>
      <c r="N55" s="30">
        <v>8</v>
      </c>
      <c r="O55" s="51">
        <f>N55*100/N59</f>
        <v>12.307692307692308</v>
      </c>
      <c r="Q55" s="265" t="s">
        <v>217</v>
      </c>
      <c r="R55" s="252"/>
      <c r="S55" s="30">
        <v>0</v>
      </c>
      <c r="T55" s="51">
        <f>S55*100/S59</f>
        <v>0</v>
      </c>
    </row>
    <row r="56" spans="1:20" ht="12.6">
      <c r="A56" s="26"/>
      <c r="B56" s="265" t="s">
        <v>22</v>
      </c>
      <c r="C56" s="252"/>
      <c r="D56" s="30">
        <v>92</v>
      </c>
      <c r="E56" s="51">
        <f>D56*100/D59</f>
        <v>45.098039215686278</v>
      </c>
      <c r="G56" s="265" t="s">
        <v>22</v>
      </c>
      <c r="H56" s="252"/>
      <c r="I56" s="30">
        <v>60</v>
      </c>
      <c r="J56" s="51">
        <f>I56*100/I59</f>
        <v>43.478260869565219</v>
      </c>
      <c r="L56" s="265" t="s">
        <v>22</v>
      </c>
      <c r="M56" s="252"/>
      <c r="N56" s="30">
        <v>31</v>
      </c>
      <c r="O56" s="51">
        <f>N56*100/N59</f>
        <v>47.692307692307693</v>
      </c>
      <c r="Q56" s="265" t="s">
        <v>22</v>
      </c>
      <c r="R56" s="252"/>
      <c r="S56" s="30">
        <v>1</v>
      </c>
      <c r="T56" s="51">
        <f>S56*100/S59</f>
        <v>100</v>
      </c>
    </row>
    <row r="57" spans="1:20" ht="12.6">
      <c r="A57" s="26"/>
      <c r="B57" s="265" t="s">
        <v>40</v>
      </c>
      <c r="C57" s="252"/>
      <c r="D57" s="30">
        <v>58</v>
      </c>
      <c r="E57" s="51">
        <f>D57*100/D59</f>
        <v>28.431372549019606</v>
      </c>
      <c r="G57" s="265" t="s">
        <v>40</v>
      </c>
      <c r="H57" s="252"/>
      <c r="I57" s="30">
        <v>44</v>
      </c>
      <c r="J57" s="51">
        <f>I57*100/I59</f>
        <v>31.884057971014492</v>
      </c>
      <c r="L57" s="265" t="s">
        <v>40</v>
      </c>
      <c r="M57" s="252"/>
      <c r="N57" s="30">
        <v>14</v>
      </c>
      <c r="O57" s="51">
        <f>N57*100/N59</f>
        <v>21.53846153846154</v>
      </c>
      <c r="Q57" s="265" t="s">
        <v>40</v>
      </c>
      <c r="R57" s="252"/>
      <c r="S57" s="30">
        <v>0</v>
      </c>
      <c r="T57" s="51">
        <f>S57*100/S59</f>
        <v>0</v>
      </c>
    </row>
    <row r="58" spans="1:20" ht="12.6">
      <c r="A58" s="26"/>
      <c r="B58" s="265" t="s">
        <v>218</v>
      </c>
      <c r="C58" s="252"/>
      <c r="D58" s="30">
        <v>39</v>
      </c>
      <c r="E58" s="51">
        <f>D58*100/D59</f>
        <v>19.117647058823529</v>
      </c>
      <c r="G58" s="265" t="s">
        <v>218</v>
      </c>
      <c r="H58" s="252"/>
      <c r="I58" s="30">
        <v>27</v>
      </c>
      <c r="J58" s="51">
        <f>I58*100/I59</f>
        <v>19.565217391304348</v>
      </c>
      <c r="L58" s="265" t="s">
        <v>218</v>
      </c>
      <c r="M58" s="252"/>
      <c r="N58" s="30">
        <v>12</v>
      </c>
      <c r="O58" s="51">
        <f>N58*100/N59</f>
        <v>18.46153846153846</v>
      </c>
      <c r="Q58" s="265" t="s">
        <v>218</v>
      </c>
      <c r="R58" s="252"/>
      <c r="S58" s="30">
        <v>0</v>
      </c>
      <c r="T58" s="51">
        <f>S58*100/S59</f>
        <v>0</v>
      </c>
    </row>
    <row r="59" spans="1:20" ht="12.6">
      <c r="A59" s="26"/>
      <c r="B59" s="264" t="s">
        <v>200</v>
      </c>
      <c r="C59" s="252"/>
      <c r="D59" s="30">
        <f t="shared" ref="D59:E59" si="15">SUM(D55:D58)</f>
        <v>204</v>
      </c>
      <c r="E59" s="51">
        <f t="shared" si="15"/>
        <v>100</v>
      </c>
      <c r="G59" s="264" t="s">
        <v>200</v>
      </c>
      <c r="H59" s="252"/>
      <c r="I59" s="30">
        <f t="shared" ref="I59:J59" si="16">SUM(I55:I58)</f>
        <v>138</v>
      </c>
      <c r="J59" s="51">
        <f t="shared" si="16"/>
        <v>100</v>
      </c>
      <c r="L59" s="264" t="s">
        <v>200</v>
      </c>
      <c r="M59" s="252"/>
      <c r="N59" s="30">
        <f t="shared" ref="N59:O59" si="17">SUM(N55:N58)</f>
        <v>65</v>
      </c>
      <c r="O59" s="51">
        <f t="shared" si="17"/>
        <v>100</v>
      </c>
      <c r="Q59" s="264" t="s">
        <v>200</v>
      </c>
      <c r="R59" s="252"/>
      <c r="S59" s="30">
        <f t="shared" ref="S59:T59" si="18">SUM(S55:S58)</f>
        <v>1</v>
      </c>
      <c r="T59" s="51">
        <f t="shared" si="18"/>
        <v>100</v>
      </c>
    </row>
    <row r="63" spans="1:20" ht="12.6">
      <c r="A63" s="23"/>
      <c r="B63" s="255" t="s">
        <v>219</v>
      </c>
      <c r="C63" s="256"/>
      <c r="D63" s="256"/>
      <c r="E63" s="252"/>
      <c r="G63" s="255" t="s">
        <v>220</v>
      </c>
      <c r="H63" s="256"/>
      <c r="I63" s="256"/>
      <c r="J63" s="252"/>
      <c r="L63" s="255" t="s">
        <v>221</v>
      </c>
      <c r="M63" s="256"/>
      <c r="N63" s="256"/>
      <c r="O63" s="252"/>
      <c r="Q63" s="255" t="s">
        <v>222</v>
      </c>
      <c r="R63" s="256"/>
      <c r="S63" s="256"/>
      <c r="T63" s="252"/>
    </row>
    <row r="64" spans="1:20" ht="12.6">
      <c r="B64" s="258"/>
      <c r="C64" s="252"/>
      <c r="D64" s="30" t="s">
        <v>194</v>
      </c>
      <c r="E64" s="30" t="s">
        <v>188</v>
      </c>
      <c r="G64" s="251" t="s">
        <v>195</v>
      </c>
      <c r="H64" s="252"/>
      <c r="I64" s="30" t="s">
        <v>194</v>
      </c>
      <c r="J64" s="30" t="s">
        <v>188</v>
      </c>
      <c r="L64" s="251" t="s">
        <v>196</v>
      </c>
      <c r="M64" s="252"/>
      <c r="N64" s="30" t="s">
        <v>194</v>
      </c>
      <c r="O64" s="30" t="s">
        <v>188</v>
      </c>
      <c r="Q64" s="251" t="s">
        <v>197</v>
      </c>
      <c r="R64" s="252"/>
      <c r="S64" s="30" t="s">
        <v>194</v>
      </c>
      <c r="T64" s="30" t="s">
        <v>188</v>
      </c>
    </row>
    <row r="65" spans="2:30" ht="12.6">
      <c r="B65" s="265" t="s">
        <v>223</v>
      </c>
      <c r="C65" s="252"/>
      <c r="D65" s="30">
        <v>53</v>
      </c>
      <c r="E65" s="51">
        <f>D65*100/D71</f>
        <v>25.603864734299517</v>
      </c>
      <c r="G65" s="265" t="s">
        <v>223</v>
      </c>
      <c r="H65" s="252"/>
      <c r="I65" s="30">
        <v>41</v>
      </c>
      <c r="J65" s="51">
        <f>I65*100/I71</f>
        <v>29.496402877697843</v>
      </c>
      <c r="L65" s="265" t="s">
        <v>223</v>
      </c>
      <c r="M65" s="252"/>
      <c r="N65" s="30">
        <v>12</v>
      </c>
      <c r="O65" s="51">
        <f>N65*100/N71</f>
        <v>17.910447761194028</v>
      </c>
      <c r="Q65" s="265" t="s">
        <v>223</v>
      </c>
      <c r="R65" s="252"/>
      <c r="S65" s="30">
        <v>0</v>
      </c>
      <c r="T65" s="51">
        <f>S65*100/S71</f>
        <v>0</v>
      </c>
    </row>
    <row r="66" spans="2:30" ht="12.6">
      <c r="B66" s="265" t="s">
        <v>224</v>
      </c>
      <c r="C66" s="252"/>
      <c r="D66" s="30">
        <v>103</v>
      </c>
      <c r="E66" s="51">
        <f>D66*100/D71</f>
        <v>49.75845410628019</v>
      </c>
      <c r="G66" s="265" t="s">
        <v>224</v>
      </c>
      <c r="H66" s="252"/>
      <c r="I66" s="30">
        <v>71</v>
      </c>
      <c r="J66" s="51">
        <f>I66*100/I71</f>
        <v>51.079136690647481</v>
      </c>
      <c r="L66" s="265" t="s">
        <v>224</v>
      </c>
      <c r="M66" s="252"/>
      <c r="N66" s="30">
        <v>32</v>
      </c>
      <c r="O66" s="51">
        <f>N66*100/N71</f>
        <v>47.761194029850749</v>
      </c>
      <c r="Q66" s="265" t="s">
        <v>224</v>
      </c>
      <c r="R66" s="252"/>
      <c r="S66" s="30">
        <v>0</v>
      </c>
      <c r="T66" s="51">
        <f>S66*100/S71</f>
        <v>0</v>
      </c>
    </row>
    <row r="67" spans="2:30" ht="12.6">
      <c r="B67" s="265" t="s">
        <v>225</v>
      </c>
      <c r="C67" s="252"/>
      <c r="D67" s="30">
        <v>13</v>
      </c>
      <c r="E67" s="51">
        <f>D67*100/D71</f>
        <v>6.2801932367149762</v>
      </c>
      <c r="G67" s="265" t="s">
        <v>225</v>
      </c>
      <c r="H67" s="252"/>
      <c r="I67" s="30">
        <v>10</v>
      </c>
      <c r="J67" s="51">
        <f>I67*100/I71</f>
        <v>7.1942446043165464</v>
      </c>
      <c r="L67" s="265" t="s">
        <v>225</v>
      </c>
      <c r="M67" s="252"/>
      <c r="N67" s="30">
        <v>2</v>
      </c>
      <c r="O67" s="51">
        <f>N67*100/N71</f>
        <v>2.9850746268656718</v>
      </c>
      <c r="Q67" s="265" t="s">
        <v>225</v>
      </c>
      <c r="R67" s="252"/>
      <c r="S67" s="30">
        <v>0</v>
      </c>
      <c r="T67" s="51">
        <f>S67*100/S71</f>
        <v>0</v>
      </c>
    </row>
    <row r="68" spans="2:30" ht="12.6">
      <c r="B68" s="265" t="s">
        <v>226</v>
      </c>
      <c r="C68" s="252"/>
      <c r="D68" s="30">
        <v>19</v>
      </c>
      <c r="E68" s="51">
        <f>D68*100/D71</f>
        <v>9.1787439613526569</v>
      </c>
      <c r="G68" s="265" t="s">
        <v>226</v>
      </c>
      <c r="H68" s="252"/>
      <c r="I68" s="30">
        <v>9</v>
      </c>
      <c r="J68" s="51">
        <f>I68*100/I71</f>
        <v>6.4748201438848918</v>
      </c>
      <c r="L68" s="265" t="s">
        <v>226</v>
      </c>
      <c r="M68" s="252"/>
      <c r="N68" s="30">
        <v>10</v>
      </c>
      <c r="O68" s="51">
        <f>N68*100/N71</f>
        <v>14.925373134328359</v>
      </c>
      <c r="Q68" s="265" t="s">
        <v>226</v>
      </c>
      <c r="R68" s="252"/>
      <c r="S68" s="30">
        <v>0</v>
      </c>
      <c r="T68" s="51">
        <f>S68*100/S71</f>
        <v>0</v>
      </c>
    </row>
    <row r="69" spans="2:30" ht="12.6">
      <c r="B69" s="265" t="s">
        <v>227</v>
      </c>
      <c r="C69" s="252"/>
      <c r="D69" s="30">
        <v>14</v>
      </c>
      <c r="E69" s="51">
        <f>D69*100/D71</f>
        <v>6.7632850241545892</v>
      </c>
      <c r="G69" s="265" t="s">
        <v>227</v>
      </c>
      <c r="H69" s="252"/>
      <c r="I69" s="30">
        <v>6</v>
      </c>
      <c r="J69" s="51">
        <f>I69*100/I71</f>
        <v>4.3165467625899279</v>
      </c>
      <c r="L69" s="265" t="s">
        <v>227</v>
      </c>
      <c r="M69" s="252"/>
      <c r="N69" s="30">
        <v>8</v>
      </c>
      <c r="O69" s="51">
        <f>N69*100/N71</f>
        <v>11.940298507462687</v>
      </c>
      <c r="Q69" s="265" t="s">
        <v>227</v>
      </c>
      <c r="R69" s="252"/>
      <c r="S69" s="30">
        <v>0</v>
      </c>
      <c r="T69" s="51">
        <f>S69*100/S71</f>
        <v>0</v>
      </c>
    </row>
    <row r="70" spans="2:30" ht="12.6">
      <c r="B70" s="265" t="s">
        <v>228</v>
      </c>
      <c r="C70" s="252"/>
      <c r="D70" s="30">
        <v>5</v>
      </c>
      <c r="E70" s="51">
        <f>D70*100/D71</f>
        <v>2.4154589371980677</v>
      </c>
      <c r="G70" s="265" t="s">
        <v>228</v>
      </c>
      <c r="H70" s="252"/>
      <c r="I70" s="30">
        <v>2</v>
      </c>
      <c r="J70" s="51">
        <f>I70*100/I71</f>
        <v>1.4388489208633093</v>
      </c>
      <c r="L70" s="265" t="s">
        <v>228</v>
      </c>
      <c r="M70" s="252"/>
      <c r="N70" s="30">
        <v>3</v>
      </c>
      <c r="O70" s="51">
        <f>N70*100/N71</f>
        <v>4.4776119402985071</v>
      </c>
      <c r="Q70" s="265" t="s">
        <v>228</v>
      </c>
      <c r="R70" s="252"/>
      <c r="S70" s="30">
        <v>1</v>
      </c>
      <c r="T70" s="51">
        <f>S70*100/S71</f>
        <v>100</v>
      </c>
    </row>
    <row r="71" spans="2:30" ht="12.6">
      <c r="B71" s="264" t="s">
        <v>200</v>
      </c>
      <c r="C71" s="252"/>
      <c r="D71" s="52">
        <f t="shared" ref="D71:E71" si="19">SUM(D65:D70)</f>
        <v>207</v>
      </c>
      <c r="E71" s="51">
        <f t="shared" si="19"/>
        <v>99.999999999999986</v>
      </c>
      <c r="G71" s="264" t="s">
        <v>200</v>
      </c>
      <c r="H71" s="252"/>
      <c r="I71" s="52">
        <f t="shared" ref="I71:J71" si="20">SUM(I65:I70)</f>
        <v>139</v>
      </c>
      <c r="J71" s="51">
        <f t="shared" si="20"/>
        <v>100</v>
      </c>
      <c r="L71" s="264" t="s">
        <v>200</v>
      </c>
      <c r="M71" s="252"/>
      <c r="N71" s="52">
        <f t="shared" ref="N71:O71" si="21">SUM(N65:N70)</f>
        <v>67</v>
      </c>
      <c r="O71" s="51">
        <f t="shared" si="21"/>
        <v>99.999999999999986</v>
      </c>
      <c r="Q71" s="264" t="s">
        <v>200</v>
      </c>
      <c r="R71" s="252"/>
      <c r="S71" s="52">
        <f t="shared" ref="S71:T71" si="22">SUM(S65:S70)</f>
        <v>1</v>
      </c>
      <c r="T71" s="51">
        <f t="shared" si="22"/>
        <v>100</v>
      </c>
    </row>
    <row r="75" spans="2:30" ht="12.6">
      <c r="B75" s="273" t="s">
        <v>229</v>
      </c>
      <c r="C75" s="256"/>
      <c r="D75" s="256"/>
      <c r="E75" s="252"/>
      <c r="G75" s="273" t="s">
        <v>230</v>
      </c>
      <c r="H75" s="256"/>
      <c r="I75" s="256"/>
      <c r="J75" s="252"/>
      <c r="L75" s="273" t="s">
        <v>231</v>
      </c>
      <c r="M75" s="256"/>
      <c r="N75" s="256"/>
      <c r="O75" s="252"/>
      <c r="Q75" s="273" t="s">
        <v>232</v>
      </c>
      <c r="R75" s="256"/>
      <c r="S75" s="256"/>
      <c r="T75" s="252"/>
      <c r="V75" s="273" t="s">
        <v>233</v>
      </c>
      <c r="W75" s="256"/>
      <c r="X75" s="256"/>
      <c r="Y75" s="252"/>
      <c r="AA75" s="273" t="s">
        <v>234</v>
      </c>
      <c r="AB75" s="256"/>
      <c r="AC75" s="256"/>
      <c r="AD75" s="252"/>
    </row>
    <row r="76" spans="2:30" ht="13.8">
      <c r="B76" s="258"/>
      <c r="C76" s="252"/>
      <c r="D76" s="30" t="s">
        <v>194</v>
      </c>
      <c r="E76" s="30" t="s">
        <v>188</v>
      </c>
      <c r="G76" s="251" t="s">
        <v>195</v>
      </c>
      <c r="H76" s="252"/>
      <c r="I76" s="30" t="s">
        <v>194</v>
      </c>
      <c r="J76" s="30" t="s">
        <v>188</v>
      </c>
      <c r="L76" s="251" t="s">
        <v>196</v>
      </c>
      <c r="M76" s="252"/>
      <c r="N76" s="30" t="s">
        <v>194</v>
      </c>
      <c r="O76" s="30" t="s">
        <v>188</v>
      </c>
      <c r="Q76" s="251" t="s">
        <v>197</v>
      </c>
      <c r="R76" s="252"/>
      <c r="S76" s="30" t="s">
        <v>194</v>
      </c>
      <c r="T76" s="30" t="s">
        <v>188</v>
      </c>
      <c r="V76" s="59"/>
      <c r="W76" s="60"/>
      <c r="X76" s="274" t="s">
        <v>188</v>
      </c>
      <c r="Y76" s="252"/>
      <c r="AA76" s="59"/>
      <c r="AB76" s="60"/>
      <c r="AC76" s="274" t="s">
        <v>188</v>
      </c>
      <c r="AD76" s="252"/>
    </row>
    <row r="77" spans="2:30" ht="12.6">
      <c r="B77" s="265" t="s">
        <v>20</v>
      </c>
      <c r="C77" s="252"/>
      <c r="D77" s="30">
        <v>21</v>
      </c>
      <c r="E77" s="51">
        <f>D77*100/D79</f>
        <v>55.263157894736842</v>
      </c>
      <c r="G77" s="265" t="s">
        <v>20</v>
      </c>
      <c r="H77" s="252"/>
      <c r="I77" s="30">
        <v>12</v>
      </c>
      <c r="J77" s="51">
        <f>I77*100/I79</f>
        <v>70.588235294117652</v>
      </c>
      <c r="L77" s="265" t="s">
        <v>20</v>
      </c>
      <c r="M77" s="252"/>
      <c r="N77" s="30">
        <v>9</v>
      </c>
      <c r="O77" s="51">
        <f>N77*100/N79</f>
        <v>42.857142857142854</v>
      </c>
      <c r="Q77" s="265" t="s">
        <v>20</v>
      </c>
      <c r="R77" s="252"/>
      <c r="S77" s="30">
        <v>0</v>
      </c>
      <c r="T77" s="51" t="e">
        <f>S77*100/S79</f>
        <v>#DIV/0!</v>
      </c>
      <c r="V77" s="265" t="s">
        <v>195</v>
      </c>
      <c r="W77" s="252"/>
      <c r="X77" s="275">
        <f>I77*100/D77</f>
        <v>57.142857142857146</v>
      </c>
      <c r="Y77" s="252"/>
      <c r="AA77" s="265" t="s">
        <v>195</v>
      </c>
      <c r="AB77" s="252"/>
      <c r="AC77" s="275">
        <f>I78*100/D78</f>
        <v>29.411764705882351</v>
      </c>
      <c r="AD77" s="252"/>
    </row>
    <row r="78" spans="2:30" ht="12.6">
      <c r="B78" s="265" t="s">
        <v>30</v>
      </c>
      <c r="C78" s="252"/>
      <c r="D78" s="30">
        <v>17</v>
      </c>
      <c r="E78" s="51">
        <f>D78*100/D79</f>
        <v>44.736842105263158</v>
      </c>
      <c r="G78" s="265" t="s">
        <v>30</v>
      </c>
      <c r="H78" s="252"/>
      <c r="I78" s="30">
        <v>5</v>
      </c>
      <c r="J78" s="51">
        <f>I78*100/I79</f>
        <v>29.411764705882351</v>
      </c>
      <c r="L78" s="265" t="s">
        <v>30</v>
      </c>
      <c r="M78" s="252"/>
      <c r="N78" s="30">
        <v>12</v>
      </c>
      <c r="O78" s="51">
        <f>N78*100/N79</f>
        <v>57.142857142857146</v>
      </c>
      <c r="Q78" s="265" t="s">
        <v>30</v>
      </c>
      <c r="R78" s="252"/>
      <c r="S78" s="30">
        <v>0</v>
      </c>
      <c r="T78" s="51" t="e">
        <f>S78*100/S79</f>
        <v>#DIV/0!</v>
      </c>
      <c r="V78" s="265" t="s">
        <v>196</v>
      </c>
      <c r="W78" s="252"/>
      <c r="X78" s="267">
        <f>N77*100/D77</f>
        <v>42.857142857142854</v>
      </c>
      <c r="Y78" s="252"/>
      <c r="AA78" s="265" t="s">
        <v>196</v>
      </c>
      <c r="AB78" s="252"/>
      <c r="AC78" s="275">
        <f>N78*100/D78</f>
        <v>70.588235294117652</v>
      </c>
      <c r="AD78" s="252"/>
    </row>
    <row r="79" spans="2:30" ht="12.6">
      <c r="B79" s="264" t="s">
        <v>200</v>
      </c>
      <c r="C79" s="252"/>
      <c r="D79" s="30">
        <f t="shared" ref="D79:E79" si="23">SUM(D77:D78)</f>
        <v>38</v>
      </c>
      <c r="E79" s="51">
        <f t="shared" si="23"/>
        <v>100</v>
      </c>
      <c r="G79" s="264" t="s">
        <v>200</v>
      </c>
      <c r="H79" s="252"/>
      <c r="I79" s="52">
        <f t="shared" ref="I79:J79" si="24">SUM(I77:I78)</f>
        <v>17</v>
      </c>
      <c r="J79" s="51">
        <f t="shared" si="24"/>
        <v>100</v>
      </c>
      <c r="L79" s="264" t="s">
        <v>200</v>
      </c>
      <c r="M79" s="252"/>
      <c r="N79" s="52">
        <f t="shared" ref="N79:O79" si="25">SUM(N77:N78)</f>
        <v>21</v>
      </c>
      <c r="O79" s="51">
        <f t="shared" si="25"/>
        <v>100</v>
      </c>
      <c r="Q79" s="264" t="s">
        <v>200</v>
      </c>
      <c r="R79" s="252"/>
      <c r="S79" s="52">
        <f t="shared" ref="S79:T79" si="26">SUM(S77:S78)</f>
        <v>0</v>
      </c>
      <c r="T79" s="51" t="e">
        <f t="shared" si="26"/>
        <v>#DIV/0!</v>
      </c>
      <c r="V79" s="265" t="s">
        <v>197</v>
      </c>
      <c r="W79" s="252"/>
      <c r="X79" s="251">
        <f>S78*100/D77</f>
        <v>0</v>
      </c>
      <c r="Y79" s="252"/>
      <c r="AA79" s="265" t="s">
        <v>197</v>
      </c>
      <c r="AB79" s="252"/>
      <c r="AC79" s="251">
        <f>S78*100/D78</f>
        <v>0</v>
      </c>
      <c r="AD79" s="252"/>
    </row>
    <row r="80" spans="2:30" ht="12.6">
      <c r="C80" s="254"/>
      <c r="D80" s="254"/>
      <c r="V80" s="264" t="s">
        <v>200</v>
      </c>
      <c r="W80" s="252"/>
      <c r="X80" s="275">
        <f>SUM(X77:X79)</f>
        <v>100</v>
      </c>
      <c r="Y80" s="252"/>
      <c r="AA80" s="264" t="s">
        <v>200</v>
      </c>
      <c r="AB80" s="252"/>
      <c r="AC80" s="275">
        <f>SUM(AC77:AC79)</f>
        <v>100</v>
      </c>
      <c r="AD80" s="252"/>
    </row>
    <row r="83" spans="2:39" ht="13.2">
      <c r="B83" s="255" t="s">
        <v>235</v>
      </c>
      <c r="C83" s="256"/>
      <c r="D83" s="256"/>
      <c r="E83" s="252"/>
      <c r="G83" s="255" t="s">
        <v>236</v>
      </c>
      <c r="H83" s="256"/>
      <c r="I83" s="256"/>
      <c r="J83" s="252"/>
      <c r="L83" s="255" t="s">
        <v>237</v>
      </c>
      <c r="M83" s="256"/>
      <c r="N83" s="256"/>
      <c r="O83" s="252"/>
      <c r="Q83" s="260" t="s">
        <v>238</v>
      </c>
      <c r="R83" s="256"/>
      <c r="S83" s="256"/>
      <c r="T83" s="252"/>
    </row>
    <row r="84" spans="2:39" ht="13.8">
      <c r="B84" s="258"/>
      <c r="C84" s="252"/>
      <c r="D84" s="30" t="s">
        <v>194</v>
      </c>
      <c r="E84" s="30" t="s">
        <v>239</v>
      </c>
      <c r="G84" s="251" t="s">
        <v>195</v>
      </c>
      <c r="H84" s="252"/>
      <c r="I84" s="30" t="s">
        <v>194</v>
      </c>
      <c r="J84" s="30" t="s">
        <v>239</v>
      </c>
      <c r="L84" s="251" t="s">
        <v>196</v>
      </c>
      <c r="M84" s="252"/>
      <c r="N84" s="30" t="s">
        <v>194</v>
      </c>
      <c r="O84" s="30" t="s">
        <v>239</v>
      </c>
      <c r="Q84" s="261" t="s">
        <v>197</v>
      </c>
      <c r="R84" s="262"/>
      <c r="S84" s="61" t="s">
        <v>194</v>
      </c>
      <c r="T84" s="61" t="s">
        <v>239</v>
      </c>
      <c r="AL84" s="14"/>
      <c r="AM84" s="14"/>
    </row>
    <row r="85" spans="2:39" ht="13.2">
      <c r="B85" s="265" t="s">
        <v>20</v>
      </c>
      <c r="C85" s="252"/>
      <c r="D85" s="30">
        <v>83</v>
      </c>
      <c r="E85" s="51">
        <f>D85*100/D88</f>
        <v>39.150943396226417</v>
      </c>
      <c r="G85" s="265" t="s">
        <v>20</v>
      </c>
      <c r="H85" s="252"/>
      <c r="I85" s="30">
        <v>61</v>
      </c>
      <c r="J85" s="51">
        <f>I85*100/I88</f>
        <v>42.65734265734266</v>
      </c>
      <c r="L85" s="265" t="s">
        <v>240</v>
      </c>
      <c r="M85" s="252"/>
      <c r="N85" s="30">
        <v>21</v>
      </c>
      <c r="O85" s="51">
        <f>N85*100/N88</f>
        <v>31.343283582089551</v>
      </c>
      <c r="Q85" s="263" t="s">
        <v>20</v>
      </c>
      <c r="R85" s="262"/>
      <c r="S85" s="62">
        <v>1</v>
      </c>
      <c r="T85" s="63">
        <f>S85*100/S88</f>
        <v>50</v>
      </c>
    </row>
    <row r="86" spans="2:39" ht="13.8">
      <c r="B86" s="265" t="s">
        <v>30</v>
      </c>
      <c r="C86" s="252"/>
      <c r="D86" s="30">
        <v>49</v>
      </c>
      <c r="E86" s="51">
        <f>D86*100/D88</f>
        <v>23.113207547169811</v>
      </c>
      <c r="G86" s="265" t="s">
        <v>30</v>
      </c>
      <c r="H86" s="252"/>
      <c r="I86" s="30">
        <v>23</v>
      </c>
      <c r="J86" s="51">
        <f>I86*100/I88</f>
        <v>16.083916083916083</v>
      </c>
      <c r="L86" s="265" t="s">
        <v>30</v>
      </c>
      <c r="M86" s="252"/>
      <c r="N86" s="30">
        <v>26</v>
      </c>
      <c r="O86" s="51">
        <f>N86*100/N88</f>
        <v>38.805970149253731</v>
      </c>
      <c r="Q86" s="263" t="s">
        <v>30</v>
      </c>
      <c r="R86" s="262"/>
      <c r="S86" s="64">
        <v>0</v>
      </c>
      <c r="T86" s="63">
        <f>S86*100/S88</f>
        <v>0</v>
      </c>
    </row>
    <row r="87" spans="2:39" ht="13.2">
      <c r="B87" s="265" t="s">
        <v>25</v>
      </c>
      <c r="C87" s="252"/>
      <c r="D87" s="30">
        <v>80</v>
      </c>
      <c r="E87" s="51">
        <f>D87*100/D88</f>
        <v>37.735849056603776</v>
      </c>
      <c r="G87" s="265" t="s">
        <v>25</v>
      </c>
      <c r="H87" s="252"/>
      <c r="I87" s="30">
        <v>59</v>
      </c>
      <c r="J87" s="51">
        <f>I87*100/I88</f>
        <v>41.25874125874126</v>
      </c>
      <c r="L87" s="265" t="s">
        <v>25</v>
      </c>
      <c r="M87" s="252"/>
      <c r="N87" s="30">
        <v>20</v>
      </c>
      <c r="O87" s="51">
        <f>N87*100/N88</f>
        <v>29.850746268656717</v>
      </c>
      <c r="Q87" s="263" t="s">
        <v>25</v>
      </c>
      <c r="R87" s="262"/>
      <c r="S87" s="62">
        <v>1</v>
      </c>
      <c r="T87" s="63">
        <f>S87*100/S88</f>
        <v>50</v>
      </c>
    </row>
    <row r="88" spans="2:39" ht="13.2">
      <c r="B88" s="264" t="s">
        <v>200</v>
      </c>
      <c r="C88" s="252"/>
      <c r="D88" s="30">
        <f t="shared" ref="D88:E88" si="27">SUM(D85:D87)</f>
        <v>212</v>
      </c>
      <c r="E88" s="51">
        <f t="shared" si="27"/>
        <v>100</v>
      </c>
      <c r="G88" s="264" t="s">
        <v>200</v>
      </c>
      <c r="H88" s="252"/>
      <c r="I88" s="30">
        <f t="shared" ref="I88:J88" si="28">SUM(I85:I87)</f>
        <v>143</v>
      </c>
      <c r="J88" s="51">
        <f t="shared" si="28"/>
        <v>100</v>
      </c>
      <c r="L88" s="264" t="s">
        <v>200</v>
      </c>
      <c r="M88" s="252"/>
      <c r="N88" s="30">
        <f t="shared" ref="N88:O88" si="29">SUM(N85:N87)</f>
        <v>67</v>
      </c>
      <c r="O88" s="51">
        <f t="shared" si="29"/>
        <v>100</v>
      </c>
      <c r="Q88" s="276" t="s">
        <v>200</v>
      </c>
      <c r="R88" s="262"/>
      <c r="S88" s="61">
        <f t="shared" ref="S88:T88" si="30">SUM(S85:S87)</f>
        <v>2</v>
      </c>
      <c r="T88" s="63">
        <f t="shared" si="30"/>
        <v>100</v>
      </c>
    </row>
    <row r="92" spans="2:39" ht="13.2">
      <c r="B92" s="260" t="s">
        <v>241</v>
      </c>
      <c r="C92" s="256"/>
      <c r="D92" s="256"/>
      <c r="E92" s="252"/>
      <c r="G92" s="260" t="s">
        <v>242</v>
      </c>
      <c r="H92" s="256"/>
      <c r="I92" s="256"/>
      <c r="J92" s="252"/>
      <c r="L92" s="260" t="s">
        <v>243</v>
      </c>
      <c r="M92" s="256"/>
      <c r="N92" s="256"/>
      <c r="O92" s="252"/>
      <c r="Q92" s="260" t="s">
        <v>244</v>
      </c>
      <c r="R92" s="256"/>
      <c r="S92" s="256"/>
      <c r="T92" s="252"/>
      <c r="V92" s="260" t="s">
        <v>245</v>
      </c>
      <c r="W92" s="256"/>
      <c r="X92" s="256"/>
      <c r="Y92" s="252"/>
    </row>
    <row r="93" spans="2:39" ht="13.2">
      <c r="B93" s="261"/>
      <c r="C93" s="262"/>
      <c r="D93" s="61" t="s">
        <v>194</v>
      </c>
      <c r="E93" s="61" t="s">
        <v>239</v>
      </c>
      <c r="G93" s="261" t="s">
        <v>195</v>
      </c>
      <c r="H93" s="262"/>
      <c r="I93" s="61" t="s">
        <v>194</v>
      </c>
      <c r="J93" s="61" t="s">
        <v>239</v>
      </c>
      <c r="L93" s="261" t="s">
        <v>196</v>
      </c>
      <c r="M93" s="262"/>
      <c r="N93" s="61" t="s">
        <v>194</v>
      </c>
      <c r="O93" s="61" t="s">
        <v>239</v>
      </c>
      <c r="Q93" s="261" t="s">
        <v>197</v>
      </c>
      <c r="R93" s="262"/>
      <c r="S93" s="61" t="s">
        <v>194</v>
      </c>
      <c r="T93" s="61" t="s">
        <v>239</v>
      </c>
      <c r="V93" s="261"/>
      <c r="W93" s="262"/>
      <c r="X93" s="61" t="s">
        <v>194</v>
      </c>
      <c r="Y93" s="61" t="s">
        <v>239</v>
      </c>
    </row>
    <row r="94" spans="2:39" ht="13.2">
      <c r="B94" s="263" t="s">
        <v>20</v>
      </c>
      <c r="C94" s="262"/>
      <c r="D94" s="62">
        <v>106</v>
      </c>
      <c r="E94" s="63">
        <f>D94*100/D96</f>
        <v>50</v>
      </c>
      <c r="G94" s="263" t="s">
        <v>20</v>
      </c>
      <c r="H94" s="262"/>
      <c r="I94" s="62">
        <v>101</v>
      </c>
      <c r="J94" s="63">
        <f>I94*100/I96</f>
        <v>70.629370629370626</v>
      </c>
      <c r="L94" s="263" t="s">
        <v>20</v>
      </c>
      <c r="M94" s="262"/>
      <c r="N94" s="62">
        <v>4</v>
      </c>
      <c r="O94" s="63">
        <f>N94*100/N96</f>
        <v>5.9701492537313436</v>
      </c>
      <c r="Q94" s="263" t="s">
        <v>20</v>
      </c>
      <c r="R94" s="262"/>
      <c r="S94" s="62">
        <v>1</v>
      </c>
      <c r="T94" s="63">
        <f>S94*100/S96</f>
        <v>50</v>
      </c>
      <c r="V94" s="263" t="s">
        <v>195</v>
      </c>
      <c r="W94" s="262"/>
      <c r="X94" s="62">
        <v>101</v>
      </c>
      <c r="Y94" s="63">
        <f>X94*100/X97</f>
        <v>95.283018867924525</v>
      </c>
    </row>
    <row r="95" spans="2:39" ht="13.2">
      <c r="B95" s="263" t="s">
        <v>30</v>
      </c>
      <c r="C95" s="262"/>
      <c r="D95" s="62">
        <v>106</v>
      </c>
      <c r="E95" s="63">
        <f>D95*100/D96</f>
        <v>50</v>
      </c>
      <c r="G95" s="263" t="s">
        <v>30</v>
      </c>
      <c r="H95" s="262"/>
      <c r="I95" s="62">
        <v>42</v>
      </c>
      <c r="J95" s="63">
        <f>I95*100/I96</f>
        <v>29.37062937062937</v>
      </c>
      <c r="L95" s="263" t="s">
        <v>30</v>
      </c>
      <c r="M95" s="262"/>
      <c r="N95" s="62">
        <v>63</v>
      </c>
      <c r="O95" s="63">
        <f>N95*100/N96</f>
        <v>94.02985074626865</v>
      </c>
      <c r="Q95" s="263" t="s">
        <v>30</v>
      </c>
      <c r="R95" s="262"/>
      <c r="S95" s="62">
        <v>1</v>
      </c>
      <c r="T95" s="63">
        <f>S95*100/S96</f>
        <v>50</v>
      </c>
      <c r="V95" s="263" t="s">
        <v>196</v>
      </c>
      <c r="W95" s="262"/>
      <c r="X95" s="62">
        <v>4</v>
      </c>
      <c r="Y95" s="63">
        <f>X95*100/X97</f>
        <v>3.7735849056603774</v>
      </c>
    </row>
    <row r="96" spans="2:39" ht="13.2">
      <c r="B96" s="276" t="s">
        <v>200</v>
      </c>
      <c r="C96" s="262"/>
      <c r="D96" s="61">
        <f t="shared" ref="D96:E96" si="31">SUM(D94:D95)</f>
        <v>212</v>
      </c>
      <c r="E96" s="63">
        <f t="shared" si="31"/>
        <v>100</v>
      </c>
      <c r="G96" s="276" t="s">
        <v>200</v>
      </c>
      <c r="H96" s="262"/>
      <c r="I96" s="61">
        <f t="shared" ref="I96:J96" si="32">SUM(I94:I95)</f>
        <v>143</v>
      </c>
      <c r="J96" s="63">
        <f t="shared" si="32"/>
        <v>100</v>
      </c>
      <c r="L96" s="276" t="s">
        <v>200</v>
      </c>
      <c r="M96" s="262"/>
      <c r="N96" s="61">
        <f t="shared" ref="N96:O96" si="33">SUM(N94:N95)</f>
        <v>67</v>
      </c>
      <c r="O96" s="63">
        <f t="shared" si="33"/>
        <v>100</v>
      </c>
      <c r="Q96" s="276" t="s">
        <v>200</v>
      </c>
      <c r="R96" s="262"/>
      <c r="S96" s="61">
        <f t="shared" ref="S96:T96" si="34">SUM(S94:S95)</f>
        <v>2</v>
      </c>
      <c r="T96" s="63">
        <f t="shared" si="34"/>
        <v>100</v>
      </c>
      <c r="V96" s="276" t="s">
        <v>197</v>
      </c>
      <c r="W96" s="262"/>
      <c r="X96" s="62">
        <v>1</v>
      </c>
      <c r="Y96" s="63">
        <f>X96*100/X97</f>
        <v>0.94339622641509435</v>
      </c>
    </row>
    <row r="97" spans="2:25" ht="12.6">
      <c r="V97" s="264" t="s">
        <v>200</v>
      </c>
      <c r="W97" s="252"/>
      <c r="X97" s="52">
        <f t="shared" ref="X97:Y97" si="35">SUM(X94:X96)</f>
        <v>106</v>
      </c>
      <c r="Y97" s="51">
        <f t="shared" si="35"/>
        <v>99.999999999999986</v>
      </c>
    </row>
    <row r="100" spans="2:25" ht="13.8">
      <c r="B100" s="259" t="s">
        <v>246</v>
      </c>
      <c r="C100" s="256"/>
      <c r="D100" s="256"/>
      <c r="E100" s="252"/>
      <c r="G100" s="260" t="s">
        <v>247</v>
      </c>
      <c r="H100" s="256"/>
      <c r="I100" s="256"/>
      <c r="J100" s="252"/>
      <c r="L100" s="260" t="s">
        <v>247</v>
      </c>
      <c r="M100" s="256"/>
      <c r="N100" s="256"/>
      <c r="O100" s="252"/>
      <c r="Q100" s="260" t="s">
        <v>248</v>
      </c>
      <c r="R100" s="256"/>
      <c r="S100" s="256"/>
      <c r="T100" s="252"/>
      <c r="V100" s="255" t="s">
        <v>249</v>
      </c>
      <c r="W100" s="256"/>
      <c r="X100" s="252"/>
      <c r="Y100" s="25"/>
    </row>
    <row r="101" spans="2:25" ht="13.2">
      <c r="B101" s="261"/>
      <c r="C101" s="262"/>
      <c r="D101" s="61" t="s">
        <v>194</v>
      </c>
      <c r="E101" s="61" t="s">
        <v>239</v>
      </c>
      <c r="G101" s="261" t="s">
        <v>195</v>
      </c>
      <c r="H101" s="262"/>
      <c r="I101" s="61" t="s">
        <v>194</v>
      </c>
      <c r="J101" s="61" t="s">
        <v>239</v>
      </c>
      <c r="L101" s="261" t="s">
        <v>196</v>
      </c>
      <c r="M101" s="262"/>
      <c r="N101" s="61" t="s">
        <v>194</v>
      </c>
      <c r="O101" s="61" t="s">
        <v>239</v>
      </c>
      <c r="Q101" s="261" t="s">
        <v>197</v>
      </c>
      <c r="R101" s="262"/>
      <c r="S101" s="61" t="s">
        <v>194</v>
      </c>
      <c r="T101" s="61" t="s">
        <v>239</v>
      </c>
      <c r="V101" s="48"/>
      <c r="W101" s="40" t="s">
        <v>250</v>
      </c>
      <c r="X101" s="40" t="s">
        <v>188</v>
      </c>
    </row>
    <row r="102" spans="2:25" ht="13.2">
      <c r="B102" s="263" t="s">
        <v>20</v>
      </c>
      <c r="C102" s="262"/>
      <c r="D102" s="62">
        <v>66</v>
      </c>
      <c r="E102" s="63">
        <f>D102*100/D104</f>
        <v>66</v>
      </c>
      <c r="G102" s="263" t="s">
        <v>20</v>
      </c>
      <c r="H102" s="262"/>
      <c r="I102" s="62">
        <v>63</v>
      </c>
      <c r="J102" s="63">
        <f>I102*100/I104</f>
        <v>66.315789473684205</v>
      </c>
      <c r="L102" s="263" t="s">
        <v>20</v>
      </c>
      <c r="M102" s="262"/>
      <c r="N102" s="62">
        <v>3</v>
      </c>
      <c r="O102" s="63">
        <f>N102*100/N104</f>
        <v>60</v>
      </c>
      <c r="Q102" s="263" t="s">
        <v>20</v>
      </c>
      <c r="R102" s="262"/>
      <c r="S102" s="62">
        <v>0</v>
      </c>
      <c r="T102" s="63" t="e">
        <f>S102*100/S104</f>
        <v>#DIV/0!</v>
      </c>
      <c r="V102" s="41" t="s">
        <v>251</v>
      </c>
      <c r="W102" s="38">
        <v>13</v>
      </c>
      <c r="X102" s="65">
        <f>W102*100/W105</f>
        <v>6.132075471698113</v>
      </c>
    </row>
    <row r="103" spans="2:25" ht="13.2">
      <c r="B103" s="263" t="s">
        <v>30</v>
      </c>
      <c r="C103" s="262"/>
      <c r="D103" s="62">
        <v>34</v>
      </c>
      <c r="E103" s="63">
        <f>D103*100/D104</f>
        <v>34</v>
      </c>
      <c r="G103" s="263" t="s">
        <v>30</v>
      </c>
      <c r="H103" s="262"/>
      <c r="I103" s="62">
        <v>32</v>
      </c>
      <c r="J103" s="63">
        <f>I103*100/I104</f>
        <v>33.684210526315788</v>
      </c>
      <c r="L103" s="263" t="s">
        <v>30</v>
      </c>
      <c r="M103" s="262"/>
      <c r="N103" s="62">
        <v>2</v>
      </c>
      <c r="O103" s="63">
        <f>N103*100/N104</f>
        <v>40</v>
      </c>
      <c r="Q103" s="263" t="s">
        <v>30</v>
      </c>
      <c r="R103" s="262"/>
      <c r="S103" s="62">
        <v>0</v>
      </c>
      <c r="T103" s="63" t="e">
        <f>S103*100/S104</f>
        <v>#DIV/0!</v>
      </c>
      <c r="V103" s="41" t="s">
        <v>31</v>
      </c>
      <c r="W103" s="38">
        <v>153</v>
      </c>
      <c r="X103" s="65">
        <f>W103*100/W105</f>
        <v>72.169811320754718</v>
      </c>
    </row>
    <row r="104" spans="2:25" ht="13.2">
      <c r="B104" s="276" t="s">
        <v>200</v>
      </c>
      <c r="C104" s="262"/>
      <c r="D104" s="62">
        <f t="shared" ref="D104:E104" si="36">SUM(D102:D103)</f>
        <v>100</v>
      </c>
      <c r="E104" s="63">
        <f t="shared" si="36"/>
        <v>100</v>
      </c>
      <c r="G104" s="276" t="s">
        <v>200</v>
      </c>
      <c r="H104" s="262"/>
      <c r="I104" s="61">
        <f t="shared" ref="I104:J104" si="37">SUM(I102:I103)</f>
        <v>95</v>
      </c>
      <c r="J104" s="63">
        <f t="shared" si="37"/>
        <v>100</v>
      </c>
      <c r="L104" s="276" t="s">
        <v>200</v>
      </c>
      <c r="M104" s="262"/>
      <c r="N104" s="61">
        <f t="shared" ref="N104:O104" si="38">SUM(N102:N103)</f>
        <v>5</v>
      </c>
      <c r="O104" s="63">
        <f t="shared" si="38"/>
        <v>100</v>
      </c>
      <c r="Q104" s="276" t="s">
        <v>200</v>
      </c>
      <c r="R104" s="262"/>
      <c r="S104" s="61">
        <f t="shared" ref="S104:T104" si="39">SUM(S102:S103)</f>
        <v>0</v>
      </c>
      <c r="T104" s="63" t="e">
        <f t="shared" si="39"/>
        <v>#DIV/0!</v>
      </c>
      <c r="V104" s="41" t="s">
        <v>252</v>
      </c>
      <c r="W104" s="38">
        <v>46</v>
      </c>
      <c r="X104" s="65">
        <f>W104*100/W105</f>
        <v>21.69811320754717</v>
      </c>
    </row>
    <row r="105" spans="2:25" ht="12.6">
      <c r="V105" s="41" t="s">
        <v>200</v>
      </c>
      <c r="W105" s="48">
        <f t="shared" ref="W105:X105" si="40">SUM(W102:W104)</f>
        <v>212</v>
      </c>
      <c r="X105" s="66">
        <f t="shared" si="40"/>
        <v>100</v>
      </c>
    </row>
    <row r="108" spans="2:25" ht="13.8">
      <c r="B108" s="257" t="s">
        <v>253</v>
      </c>
      <c r="C108" s="256"/>
      <c r="D108" s="256"/>
      <c r="E108" s="252"/>
      <c r="G108" s="255" t="s">
        <v>254</v>
      </c>
      <c r="H108" s="256"/>
      <c r="I108" s="256"/>
      <c r="J108" s="252"/>
      <c r="L108" s="255" t="s">
        <v>255</v>
      </c>
      <c r="M108" s="256"/>
      <c r="N108" s="256"/>
      <c r="O108" s="252"/>
      <c r="Q108" s="255" t="s">
        <v>256</v>
      </c>
      <c r="R108" s="256"/>
      <c r="S108" s="256"/>
      <c r="T108" s="252"/>
      <c r="V108" s="255" t="s">
        <v>257</v>
      </c>
      <c r="W108" s="256"/>
      <c r="X108" s="252"/>
    </row>
    <row r="109" spans="2:25" ht="12.6">
      <c r="B109" s="258"/>
      <c r="C109" s="252"/>
      <c r="D109" s="30" t="s">
        <v>194</v>
      </c>
      <c r="E109" s="30" t="s">
        <v>239</v>
      </c>
      <c r="G109" s="251" t="s">
        <v>195</v>
      </c>
      <c r="H109" s="252"/>
      <c r="I109" s="30" t="s">
        <v>194</v>
      </c>
      <c r="J109" s="30" t="s">
        <v>239</v>
      </c>
      <c r="L109" s="251" t="s">
        <v>196</v>
      </c>
      <c r="M109" s="252"/>
      <c r="N109" s="30" t="s">
        <v>194</v>
      </c>
      <c r="O109" s="30" t="s">
        <v>239</v>
      </c>
      <c r="Q109" s="251" t="s">
        <v>197</v>
      </c>
      <c r="R109" s="252"/>
      <c r="S109" s="30" t="s">
        <v>194</v>
      </c>
      <c r="T109" s="30" t="s">
        <v>239</v>
      </c>
      <c r="V109" s="48"/>
      <c r="W109" s="30" t="s">
        <v>194</v>
      </c>
      <c r="X109" s="30" t="s">
        <v>188</v>
      </c>
    </row>
    <row r="110" spans="2:25" ht="13.8">
      <c r="B110" s="265" t="s">
        <v>258</v>
      </c>
      <c r="C110" s="252"/>
      <c r="D110" s="30">
        <v>13</v>
      </c>
      <c r="E110" s="51">
        <f>D110*100/D113</f>
        <v>6.132075471698113</v>
      </c>
      <c r="G110" s="265" t="s">
        <v>258</v>
      </c>
      <c r="H110" s="252"/>
      <c r="I110" s="30">
        <v>0</v>
      </c>
      <c r="J110" s="51">
        <f>I110*100/I113</f>
        <v>0</v>
      </c>
      <c r="L110" s="265" t="s">
        <v>258</v>
      </c>
      <c r="M110" s="252"/>
      <c r="N110" s="30">
        <v>13</v>
      </c>
      <c r="O110" s="51">
        <f>N110*100/N113</f>
        <v>19.402985074626866</v>
      </c>
      <c r="Q110" s="265" t="s">
        <v>258</v>
      </c>
      <c r="R110" s="252"/>
      <c r="S110" s="67">
        <v>0</v>
      </c>
      <c r="T110" s="51">
        <f>S110*100/S113</f>
        <v>0</v>
      </c>
      <c r="V110" s="41" t="s">
        <v>20</v>
      </c>
      <c r="W110" s="30">
        <v>66</v>
      </c>
      <c r="X110" s="51">
        <f>W110*100/W112</f>
        <v>58.928571428571431</v>
      </c>
    </row>
    <row r="111" spans="2:25" ht="12.6">
      <c r="B111" s="265" t="s">
        <v>259</v>
      </c>
      <c r="C111" s="252"/>
      <c r="D111" s="30">
        <v>153</v>
      </c>
      <c r="E111" s="51">
        <f>D111*100/D113</f>
        <v>72.169811320754718</v>
      </c>
      <c r="G111" s="265" t="s">
        <v>259</v>
      </c>
      <c r="H111" s="252"/>
      <c r="I111" s="30">
        <v>100</v>
      </c>
      <c r="J111" s="51">
        <f>I111*100/I113</f>
        <v>69.930069930069934</v>
      </c>
      <c r="L111" s="265" t="s">
        <v>259</v>
      </c>
      <c r="M111" s="252"/>
      <c r="N111" s="30">
        <v>52</v>
      </c>
      <c r="O111" s="51">
        <f>N111*100/N113</f>
        <v>77.611940298507463</v>
      </c>
      <c r="Q111" s="265" t="s">
        <v>259</v>
      </c>
      <c r="R111" s="252"/>
      <c r="S111" s="30">
        <v>1</v>
      </c>
      <c r="T111" s="51">
        <f>S111*100/S113</f>
        <v>50</v>
      </c>
      <c r="V111" s="41" t="s">
        <v>30</v>
      </c>
      <c r="W111" s="30">
        <v>46</v>
      </c>
      <c r="X111" s="51">
        <f>W111*100/W112</f>
        <v>41.071428571428569</v>
      </c>
    </row>
    <row r="112" spans="2:25" ht="12.6">
      <c r="B112" s="265" t="s">
        <v>260</v>
      </c>
      <c r="C112" s="252"/>
      <c r="D112" s="30">
        <v>46</v>
      </c>
      <c r="E112" s="51">
        <f>D112*100/D113</f>
        <v>21.69811320754717</v>
      </c>
      <c r="G112" s="265" t="s">
        <v>260</v>
      </c>
      <c r="H112" s="252"/>
      <c r="I112" s="30">
        <v>43</v>
      </c>
      <c r="J112" s="51">
        <f>I112*100/I113</f>
        <v>30.06993006993007</v>
      </c>
      <c r="L112" s="265" t="s">
        <v>260</v>
      </c>
      <c r="M112" s="252"/>
      <c r="N112" s="30">
        <v>2</v>
      </c>
      <c r="O112" s="51">
        <f>N112*100/N113</f>
        <v>2.9850746268656718</v>
      </c>
      <c r="Q112" s="265" t="s">
        <v>260</v>
      </c>
      <c r="R112" s="252"/>
      <c r="S112" s="30">
        <v>1</v>
      </c>
      <c r="T112" s="51">
        <f>S112*100/S113</f>
        <v>50</v>
      </c>
      <c r="V112" s="38" t="s">
        <v>200</v>
      </c>
      <c r="W112" s="52">
        <f t="shared" ref="W112:X112" si="41">SUM(W110:W111)</f>
        <v>112</v>
      </c>
      <c r="X112" s="51">
        <f t="shared" si="41"/>
        <v>100</v>
      </c>
    </row>
    <row r="113" spans="2:34" ht="12.6">
      <c r="B113" s="264" t="s">
        <v>200</v>
      </c>
      <c r="C113" s="252"/>
      <c r="D113" s="30">
        <f t="shared" ref="D113:E113" si="42">SUM(D110:D112)</f>
        <v>212</v>
      </c>
      <c r="E113" s="51">
        <f t="shared" si="42"/>
        <v>100</v>
      </c>
      <c r="G113" s="264" t="s">
        <v>200</v>
      </c>
      <c r="H113" s="252"/>
      <c r="I113" s="30">
        <f t="shared" ref="I113:J113" si="43">SUM(I110:I112)</f>
        <v>143</v>
      </c>
      <c r="J113" s="51">
        <f t="shared" si="43"/>
        <v>100</v>
      </c>
      <c r="L113" s="264" t="s">
        <v>200</v>
      </c>
      <c r="M113" s="252"/>
      <c r="N113" s="30">
        <f t="shared" ref="N113:O113" si="44">SUM(N110:N112)</f>
        <v>67</v>
      </c>
      <c r="O113" s="51">
        <f t="shared" si="44"/>
        <v>100</v>
      </c>
      <c r="Q113" s="264" t="s">
        <v>200</v>
      </c>
      <c r="R113" s="252"/>
      <c r="S113" s="30">
        <f t="shared" ref="S113:T113" si="45">SUM(S110:S112)</f>
        <v>2</v>
      </c>
      <c r="T113" s="51">
        <f t="shared" si="45"/>
        <v>100</v>
      </c>
    </row>
    <row r="117" spans="2:34" ht="13.8">
      <c r="B117" s="257" t="s">
        <v>261</v>
      </c>
      <c r="C117" s="256"/>
      <c r="D117" s="256"/>
      <c r="E117" s="256"/>
      <c r="F117" s="256"/>
      <c r="G117" s="252"/>
      <c r="H117" s="68"/>
      <c r="I117" s="266" t="s">
        <v>262</v>
      </c>
      <c r="J117" s="256"/>
      <c r="K117" s="256"/>
      <c r="L117" s="256"/>
      <c r="M117" s="256"/>
      <c r="N117" s="252"/>
      <c r="P117" s="266" t="s">
        <v>263</v>
      </c>
      <c r="Q117" s="256"/>
      <c r="R117" s="256"/>
      <c r="S117" s="256"/>
      <c r="T117" s="256"/>
      <c r="U117" s="252"/>
      <c r="W117" s="266" t="s">
        <v>264</v>
      </c>
      <c r="X117" s="256"/>
      <c r="Y117" s="256"/>
      <c r="Z117" s="256"/>
      <c r="AA117" s="256"/>
      <c r="AB117" s="252"/>
    </row>
    <row r="118" spans="2:34" ht="12.6">
      <c r="B118" s="258"/>
      <c r="C118" s="252"/>
      <c r="D118" s="251" t="s">
        <v>194</v>
      </c>
      <c r="E118" s="252"/>
      <c r="F118" s="251" t="s">
        <v>188</v>
      </c>
      <c r="G118" s="252"/>
      <c r="I118" s="251" t="s">
        <v>195</v>
      </c>
      <c r="J118" s="252"/>
      <c r="K118" s="251" t="s">
        <v>194</v>
      </c>
      <c r="L118" s="252"/>
      <c r="M118" s="251" t="s">
        <v>188</v>
      </c>
      <c r="N118" s="252"/>
      <c r="P118" s="251" t="s">
        <v>196</v>
      </c>
      <c r="Q118" s="252"/>
      <c r="R118" s="251" t="s">
        <v>194</v>
      </c>
      <c r="S118" s="252"/>
      <c r="T118" s="251" t="s">
        <v>188</v>
      </c>
      <c r="U118" s="252"/>
      <c r="W118" s="251" t="s">
        <v>197</v>
      </c>
      <c r="X118" s="252"/>
      <c r="Y118" s="251" t="s">
        <v>194</v>
      </c>
      <c r="Z118" s="252"/>
      <c r="AA118" s="251" t="s">
        <v>188</v>
      </c>
      <c r="AB118" s="252"/>
    </row>
    <row r="119" spans="2:34" ht="12.6">
      <c r="B119" s="265" t="s">
        <v>265</v>
      </c>
      <c r="C119" s="252"/>
      <c r="D119" s="251">
        <v>17</v>
      </c>
      <c r="E119" s="252"/>
      <c r="F119" s="267">
        <f>D119*100/D122</f>
        <v>8.0188679245283012</v>
      </c>
      <c r="G119" s="252"/>
      <c r="I119" s="265" t="s">
        <v>265</v>
      </c>
      <c r="J119" s="252"/>
      <c r="K119" s="251">
        <v>10</v>
      </c>
      <c r="L119" s="252"/>
      <c r="M119" s="267">
        <f>K119*100/K122</f>
        <v>6.9930069930069934</v>
      </c>
      <c r="N119" s="252"/>
      <c r="P119" s="265" t="s">
        <v>265</v>
      </c>
      <c r="Q119" s="252"/>
      <c r="R119" s="251">
        <v>7</v>
      </c>
      <c r="S119" s="252"/>
      <c r="T119" s="267">
        <f>R119*100/R122</f>
        <v>10.447761194029852</v>
      </c>
      <c r="U119" s="252"/>
      <c r="W119" s="265" t="s">
        <v>265</v>
      </c>
      <c r="X119" s="252"/>
      <c r="Y119" s="251">
        <v>0</v>
      </c>
      <c r="Z119" s="252"/>
      <c r="AA119" s="267">
        <f>Y119*100/Y122</f>
        <v>0</v>
      </c>
      <c r="AB119" s="252"/>
    </row>
    <row r="120" spans="2:34" ht="12.6">
      <c r="B120" s="265" t="s">
        <v>266</v>
      </c>
      <c r="C120" s="252"/>
      <c r="D120" s="251">
        <v>133</v>
      </c>
      <c r="E120" s="252"/>
      <c r="F120" s="267">
        <f>D120*100/D122</f>
        <v>62.735849056603776</v>
      </c>
      <c r="G120" s="252"/>
      <c r="I120" s="265" t="s">
        <v>266</v>
      </c>
      <c r="J120" s="252"/>
      <c r="K120" s="251">
        <v>85</v>
      </c>
      <c r="L120" s="252"/>
      <c r="M120" s="267">
        <f>K120*100/K122</f>
        <v>59.44055944055944</v>
      </c>
      <c r="N120" s="252"/>
      <c r="P120" s="265" t="s">
        <v>266</v>
      </c>
      <c r="Q120" s="252"/>
      <c r="R120" s="251">
        <v>46</v>
      </c>
      <c r="S120" s="252"/>
      <c r="T120" s="267">
        <f>R120*100/R122</f>
        <v>68.656716417910445</v>
      </c>
      <c r="U120" s="252"/>
      <c r="W120" s="265" t="s">
        <v>266</v>
      </c>
      <c r="X120" s="252"/>
      <c r="Y120" s="251">
        <v>2</v>
      </c>
      <c r="Z120" s="252"/>
      <c r="AA120" s="267">
        <f>Y120*100/Y122</f>
        <v>100</v>
      </c>
      <c r="AB120" s="252"/>
    </row>
    <row r="121" spans="2:34" ht="12.6">
      <c r="B121" s="265" t="s">
        <v>267</v>
      </c>
      <c r="C121" s="252"/>
      <c r="D121" s="251">
        <v>62</v>
      </c>
      <c r="E121" s="252"/>
      <c r="F121" s="267">
        <f>D121*100/D122</f>
        <v>29.245283018867923</v>
      </c>
      <c r="G121" s="252"/>
      <c r="I121" s="265" t="s">
        <v>267</v>
      </c>
      <c r="J121" s="252"/>
      <c r="K121" s="251">
        <v>48</v>
      </c>
      <c r="L121" s="252"/>
      <c r="M121" s="267">
        <f>K121*100/K122</f>
        <v>33.566433566433567</v>
      </c>
      <c r="N121" s="252"/>
      <c r="P121" s="265" t="s">
        <v>267</v>
      </c>
      <c r="Q121" s="252"/>
      <c r="R121" s="251">
        <v>14</v>
      </c>
      <c r="S121" s="252"/>
      <c r="T121" s="267">
        <f>R121*100/R122</f>
        <v>20.895522388059703</v>
      </c>
      <c r="U121" s="252"/>
      <c r="W121" s="265" t="s">
        <v>267</v>
      </c>
      <c r="X121" s="252"/>
      <c r="Y121" s="251">
        <v>0</v>
      </c>
      <c r="Z121" s="252"/>
      <c r="AA121" s="267">
        <f>Y121*100/67</f>
        <v>0</v>
      </c>
      <c r="AB121" s="252"/>
    </row>
    <row r="122" spans="2:34" ht="12.6">
      <c r="B122" s="264" t="s">
        <v>200</v>
      </c>
      <c r="C122" s="252"/>
      <c r="D122" s="251">
        <f>SUM(D119:E121)</f>
        <v>212</v>
      </c>
      <c r="E122" s="252"/>
      <c r="F122" s="267">
        <f>SUM(F119:G121)</f>
        <v>100</v>
      </c>
      <c r="G122" s="252"/>
      <c r="I122" s="264" t="s">
        <v>200</v>
      </c>
      <c r="J122" s="252"/>
      <c r="K122" s="251">
        <f>SUM(K119:L121)</f>
        <v>143</v>
      </c>
      <c r="L122" s="252"/>
      <c r="M122" s="267">
        <f>SUM(M119:N121)</f>
        <v>100</v>
      </c>
      <c r="N122" s="252"/>
      <c r="P122" s="264" t="s">
        <v>200</v>
      </c>
      <c r="Q122" s="252"/>
      <c r="R122" s="251">
        <f>SUM(R119:S121)</f>
        <v>67</v>
      </c>
      <c r="S122" s="252"/>
      <c r="T122" s="267">
        <f>SUM(T119:U121)</f>
        <v>100</v>
      </c>
      <c r="U122" s="252"/>
      <c r="W122" s="264" t="s">
        <v>200</v>
      </c>
      <c r="X122" s="252"/>
      <c r="Y122" s="251">
        <f>SUM(Y119:Z121)</f>
        <v>2</v>
      </c>
      <c r="Z122" s="252"/>
      <c r="AA122" s="267">
        <f>SUM(AA119:AB121)</f>
        <v>100</v>
      </c>
      <c r="AB122" s="252"/>
    </row>
    <row r="126" spans="2:34" ht="13.8">
      <c r="B126" s="283" t="s">
        <v>268</v>
      </c>
      <c r="C126" s="254"/>
      <c r="D126" s="254"/>
    </row>
    <row r="128" spans="2:34" ht="13.8">
      <c r="B128" s="257" t="s">
        <v>269</v>
      </c>
      <c r="C128" s="256"/>
      <c r="D128" s="256"/>
      <c r="E128" s="256"/>
      <c r="F128" s="252"/>
      <c r="I128" s="257" t="s">
        <v>270</v>
      </c>
      <c r="J128" s="256"/>
      <c r="K128" s="256"/>
      <c r="L128" s="256"/>
      <c r="M128" s="252"/>
      <c r="P128" s="257" t="s">
        <v>271</v>
      </c>
      <c r="Q128" s="256"/>
      <c r="R128" s="252"/>
      <c r="U128" s="257" t="s">
        <v>272</v>
      </c>
      <c r="V128" s="256"/>
      <c r="W128" s="256"/>
      <c r="X128" s="256"/>
      <c r="Y128" s="252"/>
      <c r="AA128" s="278" t="s">
        <v>273</v>
      </c>
      <c r="AB128" s="256"/>
      <c r="AC128" s="252"/>
      <c r="AE128" s="255" t="s">
        <v>274</v>
      </c>
      <c r="AF128" s="256"/>
      <c r="AG128" s="256"/>
      <c r="AH128" s="252"/>
    </row>
    <row r="129" spans="2:52" ht="13.8">
      <c r="B129" s="38" t="s">
        <v>275</v>
      </c>
      <c r="C129" s="69" t="s">
        <v>276</v>
      </c>
      <c r="D129" s="69" t="s">
        <v>277</v>
      </c>
      <c r="E129" s="69" t="s">
        <v>240</v>
      </c>
      <c r="F129" s="69" t="s">
        <v>278</v>
      </c>
      <c r="I129" s="70" t="s">
        <v>279</v>
      </c>
      <c r="J129" s="69" t="s">
        <v>280</v>
      </c>
      <c r="K129" s="71" t="s">
        <v>281</v>
      </c>
      <c r="L129" s="69" t="s">
        <v>282</v>
      </c>
      <c r="M129" s="41" t="s">
        <v>283</v>
      </c>
      <c r="P129" s="70" t="s">
        <v>284</v>
      </c>
      <c r="Q129" s="69" t="s">
        <v>277</v>
      </c>
      <c r="R129" s="69" t="s">
        <v>278</v>
      </c>
      <c r="U129" s="38" t="s">
        <v>285</v>
      </c>
      <c r="V129" s="69" t="s">
        <v>277</v>
      </c>
      <c r="W129" s="284" t="s">
        <v>286</v>
      </c>
      <c r="X129" s="252"/>
      <c r="Y129" s="69" t="s">
        <v>278</v>
      </c>
      <c r="AA129" s="48"/>
      <c r="AB129" s="72" t="s">
        <v>287</v>
      </c>
      <c r="AC129" s="72" t="s">
        <v>288</v>
      </c>
      <c r="AE129" s="48"/>
      <c r="AF129" s="73" t="s">
        <v>289</v>
      </c>
      <c r="AG129" s="73" t="s">
        <v>52</v>
      </c>
      <c r="AH129" s="73" t="s">
        <v>290</v>
      </c>
    </row>
    <row r="130" spans="2:52" ht="12.6">
      <c r="B130" s="41" t="s">
        <v>48</v>
      </c>
      <c r="C130" s="30">
        <v>6</v>
      </c>
      <c r="D130" s="51">
        <f>C130*100/45</f>
        <v>13.333333333333334</v>
      </c>
      <c r="E130" s="30">
        <v>39</v>
      </c>
      <c r="F130" s="51">
        <f>E130*100/45</f>
        <v>86.666666666666671</v>
      </c>
      <c r="I130" s="69" t="s">
        <v>48</v>
      </c>
      <c r="J130" s="74">
        <f>6*100/41</f>
        <v>14.634146341463415</v>
      </c>
      <c r="K130" s="74">
        <f>19*100/41</f>
        <v>46.341463414634148</v>
      </c>
      <c r="L130" s="74">
        <f>12*100/41</f>
        <v>29.26829268292683</v>
      </c>
      <c r="M130" s="74">
        <f>4*100/41</f>
        <v>9.7560975609756095</v>
      </c>
      <c r="P130" s="69" t="s">
        <v>48</v>
      </c>
      <c r="Q130" s="74">
        <f>25*100/45</f>
        <v>55.555555555555557</v>
      </c>
      <c r="R130" s="74">
        <f>20*100/45</f>
        <v>44.444444444444443</v>
      </c>
      <c r="U130" s="75" t="s">
        <v>21</v>
      </c>
      <c r="V130" s="76">
        <f>7*100/39</f>
        <v>17.948717948717949</v>
      </c>
      <c r="W130" s="275">
        <f>20*100/39</f>
        <v>51.282051282051285</v>
      </c>
      <c r="X130" s="252"/>
      <c r="Y130" s="76">
        <f>12*100/39</f>
        <v>30.76923076923077</v>
      </c>
      <c r="AA130" s="75" t="s">
        <v>21</v>
      </c>
      <c r="AB130" s="76">
        <f>18*100/39</f>
        <v>46.153846153846153</v>
      </c>
      <c r="AC130" s="76">
        <f>21*100/39</f>
        <v>53.846153846153847</v>
      </c>
      <c r="AE130" s="75" t="s">
        <v>21</v>
      </c>
      <c r="AF130" s="76">
        <f>32*100/39</f>
        <v>82.051282051282058</v>
      </c>
      <c r="AG130" s="76">
        <f>2*100/39</f>
        <v>5.1282051282051286</v>
      </c>
      <c r="AH130" s="76">
        <f>5*100/39</f>
        <v>12.820512820512821</v>
      </c>
    </row>
    <row r="131" spans="2:52" ht="12.6">
      <c r="B131" s="41" t="s">
        <v>19</v>
      </c>
      <c r="C131" s="30">
        <v>26</v>
      </c>
      <c r="D131" s="51">
        <f>C131*100/148</f>
        <v>17.567567567567568</v>
      </c>
      <c r="E131" s="30">
        <v>122</v>
      </c>
      <c r="F131" s="51">
        <f>E131*100/148</f>
        <v>82.432432432432435</v>
      </c>
      <c r="I131" s="69" t="s">
        <v>19</v>
      </c>
      <c r="J131" s="74">
        <f>8*100/145</f>
        <v>5.5172413793103452</v>
      </c>
      <c r="K131" s="74">
        <f>64*100/145</f>
        <v>44.137931034482762</v>
      </c>
      <c r="L131" s="31">
        <f>42*100/145</f>
        <v>28.96551724137931</v>
      </c>
      <c r="M131" s="74">
        <f>31*100/145</f>
        <v>21.379310344827587</v>
      </c>
      <c r="P131" s="69" t="s">
        <v>19</v>
      </c>
      <c r="Q131" s="31">
        <f>71*100/148</f>
        <v>47.972972972972975</v>
      </c>
      <c r="R131" s="74">
        <f>77*100/148</f>
        <v>52.027027027027025</v>
      </c>
      <c r="U131" s="75" t="s">
        <v>74</v>
      </c>
      <c r="V131" s="76">
        <f t="shared" ref="V131:W131" si="46">3*100/8</f>
        <v>37.5</v>
      </c>
      <c r="W131" s="275">
        <f t="shared" si="46"/>
        <v>37.5</v>
      </c>
      <c r="X131" s="252"/>
      <c r="Y131" s="51">
        <f>2*100/8</f>
        <v>25</v>
      </c>
      <c r="AA131" s="75" t="s">
        <v>74</v>
      </c>
      <c r="AB131" s="76">
        <f>5*100/8</f>
        <v>62.5</v>
      </c>
      <c r="AC131" s="76">
        <f>3*100/8</f>
        <v>37.5</v>
      </c>
      <c r="AE131" s="75" t="s">
        <v>74</v>
      </c>
      <c r="AF131" s="52">
        <f>6*100/8</f>
        <v>75</v>
      </c>
      <c r="AG131" s="52">
        <f t="shared" ref="AG131:AH131" si="47">1*100/8</f>
        <v>12.5</v>
      </c>
      <c r="AH131" s="52">
        <f t="shared" si="47"/>
        <v>12.5</v>
      </c>
    </row>
    <row r="132" spans="2:52" ht="12.6">
      <c r="B132" s="41" t="s">
        <v>97</v>
      </c>
      <c r="C132" s="30">
        <v>0</v>
      </c>
      <c r="D132" s="30">
        <f>C132*100/5</f>
        <v>0</v>
      </c>
      <c r="E132" s="30">
        <v>5</v>
      </c>
      <c r="F132" s="52">
        <f>E132*100/5</f>
        <v>100</v>
      </c>
      <c r="G132" s="56"/>
      <c r="H132" s="56"/>
      <c r="I132" s="69" t="s">
        <v>97</v>
      </c>
      <c r="J132" s="52">
        <f>0*100/5</f>
        <v>0</v>
      </c>
      <c r="K132" s="31">
        <f>4*100/5</f>
        <v>80</v>
      </c>
      <c r="L132" s="52">
        <f>0*100/5</f>
        <v>0</v>
      </c>
      <c r="M132" s="30">
        <f>1*100/5</f>
        <v>20</v>
      </c>
      <c r="N132" s="56"/>
      <c r="O132" s="56"/>
      <c r="P132" s="69" t="s">
        <v>97</v>
      </c>
      <c r="Q132" s="51">
        <f>4*100/5</f>
        <v>80</v>
      </c>
      <c r="R132" s="51">
        <f>1*100/5</f>
        <v>20</v>
      </c>
      <c r="S132" s="56"/>
      <c r="T132" s="56"/>
      <c r="U132" s="75" t="s">
        <v>58</v>
      </c>
      <c r="V132" s="51">
        <f t="shared" ref="V132:W132" si="48">0*100/1</f>
        <v>0</v>
      </c>
      <c r="W132" s="267">
        <f t="shared" si="48"/>
        <v>0</v>
      </c>
      <c r="X132" s="252"/>
      <c r="Y132" s="51">
        <f>1*100/1</f>
        <v>100</v>
      </c>
      <c r="AA132" s="75" t="s">
        <v>58</v>
      </c>
      <c r="AB132" s="51">
        <f>0*100/1</f>
        <v>0</v>
      </c>
      <c r="AC132" s="51">
        <f>1*100/1</f>
        <v>100</v>
      </c>
      <c r="AE132" s="75" t="s">
        <v>58</v>
      </c>
      <c r="AF132" s="52">
        <f t="shared" ref="AF132:AG132" si="49">0*100/1</f>
        <v>0</v>
      </c>
      <c r="AG132" s="52">
        <f t="shared" si="49"/>
        <v>0</v>
      </c>
      <c r="AH132" s="52">
        <f>1*100/1</f>
        <v>100</v>
      </c>
      <c r="AK132" s="56"/>
      <c r="AL132" s="56"/>
      <c r="AM132" s="56"/>
      <c r="AN132" s="56"/>
      <c r="AP132" s="56"/>
      <c r="AQ132" s="56"/>
      <c r="AR132" s="56"/>
      <c r="AS132" s="56"/>
      <c r="AV132" s="56"/>
      <c r="AW132" s="56"/>
      <c r="AX132" s="56"/>
      <c r="AY132" s="56"/>
    </row>
    <row r="133" spans="2:52" ht="12.6">
      <c r="B133" s="41" t="s">
        <v>143</v>
      </c>
      <c r="C133" s="30">
        <v>0</v>
      </c>
      <c r="D133" s="30">
        <f>C133*100/1</f>
        <v>0</v>
      </c>
      <c r="E133" s="30">
        <v>1</v>
      </c>
      <c r="F133" s="52">
        <f>E133*100/1</f>
        <v>100</v>
      </c>
      <c r="G133" s="56"/>
      <c r="H133" s="56"/>
      <c r="I133" s="69" t="s">
        <v>143</v>
      </c>
      <c r="J133" s="52">
        <f t="shared" ref="J133:K133" si="50">0*100/1</f>
        <v>0</v>
      </c>
      <c r="K133" s="51">
        <f t="shared" si="50"/>
        <v>0</v>
      </c>
      <c r="L133" s="30">
        <f>1*100/1</f>
        <v>100</v>
      </c>
      <c r="M133" s="52">
        <f>0*100/1</f>
        <v>0</v>
      </c>
      <c r="N133" s="56"/>
      <c r="O133" s="56"/>
      <c r="P133" s="69" t="s">
        <v>143</v>
      </c>
      <c r="Q133" s="51">
        <f>1*100/1</f>
        <v>100</v>
      </c>
      <c r="R133" s="74">
        <v>0</v>
      </c>
      <c r="S133" s="56"/>
      <c r="T133" s="56"/>
      <c r="U133" s="75" t="s">
        <v>132</v>
      </c>
      <c r="V133" s="51">
        <f>0*100/2</f>
        <v>0</v>
      </c>
      <c r="W133" s="267">
        <f>2*100/2</f>
        <v>100</v>
      </c>
      <c r="X133" s="252"/>
      <c r="Y133" s="51">
        <f>0*100/2</f>
        <v>0</v>
      </c>
      <c r="Z133" s="56"/>
      <c r="AA133" s="75" t="s">
        <v>132</v>
      </c>
      <c r="AB133" s="51">
        <f>2*100/2</f>
        <v>100</v>
      </c>
      <c r="AC133" s="51">
        <f>0*100/2</f>
        <v>0</v>
      </c>
      <c r="AE133" s="75" t="s">
        <v>132</v>
      </c>
      <c r="AF133" s="52">
        <f>2*100/2</f>
        <v>100</v>
      </c>
      <c r="AG133" s="52">
        <f t="shared" ref="AG133:AH133" si="51">0*100/2</f>
        <v>0</v>
      </c>
      <c r="AH133" s="52">
        <f t="shared" si="51"/>
        <v>0</v>
      </c>
      <c r="AI133" s="56"/>
      <c r="AK133" s="56"/>
      <c r="AL133" s="56"/>
      <c r="AM133" s="56"/>
      <c r="AN133" s="56"/>
      <c r="AP133" s="56"/>
      <c r="AQ133" s="56"/>
      <c r="AR133" s="56"/>
      <c r="AS133" s="56"/>
      <c r="AT133" s="56"/>
      <c r="AV133" s="56"/>
      <c r="AW133" s="56"/>
      <c r="AX133" s="56"/>
      <c r="AY133" s="56"/>
    </row>
    <row r="134" spans="2:52" ht="12.6">
      <c r="B134" s="41" t="s">
        <v>87</v>
      </c>
      <c r="C134" s="30">
        <v>0</v>
      </c>
      <c r="D134" s="30">
        <f>C134*100/6</f>
        <v>0</v>
      </c>
      <c r="E134" s="30">
        <v>6</v>
      </c>
      <c r="F134" s="52">
        <f>E134*100/6</f>
        <v>100</v>
      </c>
      <c r="G134" s="56"/>
      <c r="H134" s="56"/>
      <c r="I134" s="69" t="s">
        <v>87</v>
      </c>
      <c r="J134" s="74">
        <f>1*100/6</f>
        <v>16.666666666666668</v>
      </c>
      <c r="K134" s="31">
        <f>2*100/6</f>
        <v>33.333333333333336</v>
      </c>
      <c r="L134" s="30">
        <f>3*100/6</f>
        <v>50</v>
      </c>
      <c r="M134" s="52">
        <f>0*100/6</f>
        <v>0</v>
      </c>
      <c r="N134" s="56"/>
      <c r="O134" s="56"/>
      <c r="P134" s="69" t="s">
        <v>87</v>
      </c>
      <c r="Q134" s="76">
        <f>2*100/6</f>
        <v>33.333333333333336</v>
      </c>
      <c r="R134" s="76">
        <f>4*100/6</f>
        <v>66.666666666666671</v>
      </c>
      <c r="S134" s="56"/>
      <c r="T134" s="56"/>
      <c r="U134" s="75" t="s">
        <v>35</v>
      </c>
      <c r="V134" s="76">
        <f>13*100/62</f>
        <v>20.967741935483872</v>
      </c>
      <c r="W134" s="275">
        <f>20*100/62</f>
        <v>32.258064516129032</v>
      </c>
      <c r="X134" s="252"/>
      <c r="Y134" s="76">
        <f>29*100/62</f>
        <v>46.774193548387096</v>
      </c>
      <c r="Z134" s="56"/>
      <c r="AA134" s="75" t="s">
        <v>35</v>
      </c>
      <c r="AB134" s="74">
        <f>25*100/62</f>
        <v>40.322580645161288</v>
      </c>
      <c r="AC134" s="76">
        <f>37*100/62</f>
        <v>59.677419354838712</v>
      </c>
      <c r="AE134" s="75" t="s">
        <v>35</v>
      </c>
      <c r="AF134" s="76">
        <f>41*100/62</f>
        <v>66.129032258064512</v>
      </c>
      <c r="AG134" s="76">
        <f>4*100/62</f>
        <v>6.4516129032258061</v>
      </c>
      <c r="AH134" s="76">
        <f>17*100/62</f>
        <v>27.419354838709676</v>
      </c>
      <c r="AI134" s="56"/>
      <c r="AK134" s="56"/>
      <c r="AL134" s="56"/>
      <c r="AM134" s="56"/>
      <c r="AN134" s="56"/>
      <c r="AP134" s="56"/>
      <c r="AQ134" s="56"/>
      <c r="AR134" s="56"/>
      <c r="AS134" s="56"/>
      <c r="AT134" s="56"/>
      <c r="AV134" s="56"/>
      <c r="AW134" s="56"/>
      <c r="AX134" s="56"/>
      <c r="AY134" s="56"/>
      <c r="AZ134" s="56"/>
    </row>
    <row r="135" spans="2:52" ht="13.8">
      <c r="B135" s="41" t="s">
        <v>62</v>
      </c>
      <c r="C135" s="30">
        <v>4</v>
      </c>
      <c r="D135" s="51">
        <f>C135*100/7</f>
        <v>57.142857142857146</v>
      </c>
      <c r="E135" s="30">
        <v>3</v>
      </c>
      <c r="F135" s="51">
        <f>E135*100/7</f>
        <v>42.857142857142854</v>
      </c>
      <c r="G135" s="56"/>
      <c r="H135" s="56"/>
      <c r="I135" s="69" t="s">
        <v>62</v>
      </c>
      <c r="J135" s="52">
        <f>0*100/6</f>
        <v>0</v>
      </c>
      <c r="K135" s="31">
        <f>3*100/6</f>
        <v>50</v>
      </c>
      <c r="L135" s="77">
        <f>0*100/6</f>
        <v>0</v>
      </c>
      <c r="M135" s="30">
        <f>3*100/6</f>
        <v>50</v>
      </c>
      <c r="N135" s="56"/>
      <c r="O135" s="56"/>
      <c r="P135" s="69" t="s">
        <v>62</v>
      </c>
      <c r="Q135" s="76">
        <f>3*100/7</f>
        <v>42.857142857142854</v>
      </c>
      <c r="R135" s="76">
        <f>4*100/7</f>
        <v>57.142857142857146</v>
      </c>
      <c r="S135" s="56"/>
      <c r="T135" s="56"/>
      <c r="U135" s="75" t="s">
        <v>179</v>
      </c>
      <c r="V135" s="51">
        <f>0*100/2</f>
        <v>0</v>
      </c>
      <c r="W135" s="267">
        <f>2*100/2</f>
        <v>100</v>
      </c>
      <c r="X135" s="252"/>
      <c r="Y135" s="51">
        <f>0*100/2</f>
        <v>0</v>
      </c>
      <c r="Z135" s="56"/>
      <c r="AA135" s="75" t="s">
        <v>179</v>
      </c>
      <c r="AB135" s="51">
        <f>0*100/2</f>
        <v>0</v>
      </c>
      <c r="AC135" s="51">
        <f>2*100/2</f>
        <v>100</v>
      </c>
      <c r="AE135" s="75" t="s">
        <v>179</v>
      </c>
      <c r="AF135" s="52">
        <f t="shared" ref="AF135:AG135" si="52">0*100/2</f>
        <v>0</v>
      </c>
      <c r="AG135" s="52">
        <f t="shared" si="52"/>
        <v>0</v>
      </c>
      <c r="AH135" s="52">
        <f>2*100/2</f>
        <v>100</v>
      </c>
      <c r="AI135" s="56"/>
      <c r="AK135" s="56"/>
      <c r="AL135" s="56"/>
      <c r="AM135" s="56"/>
      <c r="AN135" s="56"/>
      <c r="AP135" s="56"/>
      <c r="AQ135" s="56"/>
      <c r="AR135" s="56"/>
      <c r="AS135" s="56"/>
      <c r="AT135" s="56"/>
      <c r="AV135" s="56"/>
      <c r="AW135" s="56"/>
      <c r="AX135" s="56"/>
      <c r="AY135" s="56"/>
      <c r="AZ135" s="56"/>
    </row>
    <row r="136" spans="2:52" ht="12.6">
      <c r="B136" s="56"/>
      <c r="C136" s="56"/>
      <c r="D136" s="56"/>
      <c r="E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75" t="s">
        <v>148</v>
      </c>
      <c r="V136" s="51">
        <f t="shared" ref="V136:V137" si="53">0*100/3</f>
        <v>0</v>
      </c>
      <c r="W136" s="275">
        <f t="shared" ref="W136:W137" si="54">1*100/3</f>
        <v>33.333333333333336</v>
      </c>
      <c r="X136" s="252"/>
      <c r="Y136" s="76">
        <f t="shared" ref="Y136:Y137" si="55">2*100/3</f>
        <v>66.666666666666671</v>
      </c>
      <c r="Z136" s="56"/>
      <c r="AA136" s="75" t="s">
        <v>148</v>
      </c>
      <c r="AB136" s="51">
        <f>0*100/3</f>
        <v>0</v>
      </c>
      <c r="AC136" s="51">
        <f>3*100/3</f>
        <v>100</v>
      </c>
      <c r="AE136" s="75" t="s">
        <v>148</v>
      </c>
      <c r="AF136" s="76">
        <f t="shared" ref="AF136:AF137" si="56">2*100/3</f>
        <v>66.666666666666671</v>
      </c>
      <c r="AG136" s="52">
        <f t="shared" ref="AG136:AG137" si="57">0*100/3</f>
        <v>0</v>
      </c>
      <c r="AH136" s="76">
        <f t="shared" ref="AH136:AH137" si="58">1*100/3</f>
        <v>33.333333333333336</v>
      </c>
      <c r="AI136" s="56"/>
      <c r="AK136" s="56"/>
      <c r="AL136" s="56"/>
      <c r="AM136" s="56"/>
      <c r="AN136" s="56"/>
      <c r="AP136" s="56"/>
      <c r="AQ136" s="56"/>
      <c r="AR136" s="56"/>
      <c r="AS136" s="56"/>
      <c r="AT136" s="56"/>
      <c r="AV136" s="56"/>
      <c r="AW136" s="56"/>
      <c r="AX136" s="56"/>
      <c r="AY136" s="56"/>
      <c r="AZ136" s="56"/>
    </row>
    <row r="137" spans="2:52" ht="12.6">
      <c r="B137" s="56"/>
      <c r="C137" s="56"/>
      <c r="D137" s="56"/>
      <c r="E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75" t="s">
        <v>82</v>
      </c>
      <c r="V137" s="51">
        <f t="shared" si="53"/>
        <v>0</v>
      </c>
      <c r="W137" s="275">
        <f t="shared" si="54"/>
        <v>33.333333333333336</v>
      </c>
      <c r="X137" s="252"/>
      <c r="Y137" s="76">
        <f t="shared" si="55"/>
        <v>66.666666666666671</v>
      </c>
      <c r="Z137" s="56"/>
      <c r="AA137" s="75" t="s">
        <v>82</v>
      </c>
      <c r="AB137" s="51">
        <f>3*100/3</f>
        <v>100</v>
      </c>
      <c r="AC137" s="51">
        <f>0*100/3</f>
        <v>0</v>
      </c>
      <c r="AE137" s="75" t="s">
        <v>82</v>
      </c>
      <c r="AF137" s="76">
        <f t="shared" si="56"/>
        <v>66.666666666666671</v>
      </c>
      <c r="AG137" s="52">
        <f t="shared" si="57"/>
        <v>0</v>
      </c>
      <c r="AH137" s="76">
        <f t="shared" si="58"/>
        <v>33.333333333333336</v>
      </c>
      <c r="AI137" s="56"/>
      <c r="AK137" s="56"/>
      <c r="AL137" s="56"/>
      <c r="AM137" s="56"/>
      <c r="AN137" s="56"/>
      <c r="AP137" s="56"/>
      <c r="AQ137" s="56"/>
      <c r="AR137" s="56"/>
      <c r="AS137" s="56"/>
      <c r="AT137" s="56"/>
      <c r="AV137" s="56"/>
      <c r="AW137" s="56"/>
      <c r="AX137" s="56"/>
      <c r="AY137" s="56"/>
      <c r="AZ137" s="56"/>
    </row>
    <row r="138" spans="2:52" ht="13.8">
      <c r="B138" s="257" t="s">
        <v>291</v>
      </c>
      <c r="C138" s="256"/>
      <c r="D138" s="256"/>
      <c r="E138" s="256"/>
      <c r="F138" s="256"/>
      <c r="G138" s="256"/>
      <c r="H138" s="252"/>
      <c r="I138" s="56"/>
      <c r="J138" s="56"/>
      <c r="K138" s="257" t="s">
        <v>292</v>
      </c>
      <c r="L138" s="256"/>
      <c r="M138" s="256"/>
      <c r="N138" s="252"/>
      <c r="O138" s="56"/>
      <c r="P138" s="56"/>
      <c r="Q138" s="257" t="s">
        <v>293</v>
      </c>
      <c r="R138" s="256"/>
      <c r="S138" s="252"/>
      <c r="T138" s="56"/>
      <c r="U138" s="75" t="s">
        <v>32</v>
      </c>
      <c r="V138" s="76">
        <f>5*100/21</f>
        <v>23.80952380952381</v>
      </c>
      <c r="W138" s="275">
        <f>6*100/21</f>
        <v>28.571428571428573</v>
      </c>
      <c r="X138" s="252"/>
      <c r="Y138" s="76">
        <f>10*100/21</f>
        <v>47.61904761904762</v>
      </c>
      <c r="Z138" s="56"/>
      <c r="AA138" s="75" t="s">
        <v>32</v>
      </c>
      <c r="AB138" s="76">
        <f>11*100/21</f>
        <v>52.38095238095238</v>
      </c>
      <c r="AC138" s="76">
        <f>10*100/21</f>
        <v>47.61904761904762</v>
      </c>
      <c r="AE138" s="75" t="s">
        <v>32</v>
      </c>
      <c r="AF138" s="76">
        <f>9*100/21</f>
        <v>42.857142857142854</v>
      </c>
      <c r="AG138" s="76">
        <f>3*100/21</f>
        <v>14.285714285714286</v>
      </c>
      <c r="AH138" s="76">
        <f>9*100/21</f>
        <v>42.857142857142854</v>
      </c>
      <c r="AI138" s="56"/>
      <c r="AK138" s="56"/>
      <c r="AL138" s="56"/>
      <c r="AM138" s="56"/>
      <c r="AN138" s="56"/>
      <c r="AP138" s="56"/>
      <c r="AQ138" s="56"/>
      <c r="AR138" s="56"/>
      <c r="AS138" s="56"/>
      <c r="AT138" s="56"/>
      <c r="AV138" s="56"/>
      <c r="AW138" s="56"/>
      <c r="AX138" s="56"/>
      <c r="AY138" s="56"/>
      <c r="AZ138" s="56"/>
    </row>
    <row r="139" spans="2:52" ht="13.8">
      <c r="B139" s="38" t="s">
        <v>294</v>
      </c>
      <c r="C139" s="78" t="s">
        <v>295</v>
      </c>
      <c r="D139" s="78" t="s">
        <v>296</v>
      </c>
      <c r="E139" s="78" t="s">
        <v>297</v>
      </c>
      <c r="F139" s="78" t="s">
        <v>298</v>
      </c>
      <c r="G139" s="78" t="s">
        <v>299</v>
      </c>
      <c r="H139" s="78" t="s">
        <v>300</v>
      </c>
      <c r="I139" s="56"/>
      <c r="J139" s="56"/>
      <c r="K139" s="70" t="s">
        <v>301</v>
      </c>
      <c r="L139" s="69" t="s">
        <v>302</v>
      </c>
      <c r="M139" s="69" t="s">
        <v>303</v>
      </c>
      <c r="N139" s="69" t="s">
        <v>304</v>
      </c>
      <c r="O139" s="56"/>
      <c r="P139" s="56"/>
      <c r="Q139" s="70" t="s">
        <v>305</v>
      </c>
      <c r="R139" s="72" t="s">
        <v>306</v>
      </c>
      <c r="S139" s="72" t="s">
        <v>307</v>
      </c>
      <c r="T139" s="56"/>
      <c r="U139" s="75" t="s">
        <v>39</v>
      </c>
      <c r="V139" s="76">
        <f>15*100/45</f>
        <v>33.333333333333336</v>
      </c>
      <c r="W139" s="275">
        <f>16*100/45</f>
        <v>35.555555555555557</v>
      </c>
      <c r="X139" s="252"/>
      <c r="Y139" s="76">
        <f>14*100/45</f>
        <v>31.111111111111111</v>
      </c>
      <c r="Z139" s="56"/>
      <c r="AA139" s="75" t="s">
        <v>39</v>
      </c>
      <c r="AB139" s="76">
        <f>29*100/45</f>
        <v>64.444444444444443</v>
      </c>
      <c r="AC139" s="76">
        <f>16*100/45</f>
        <v>35.555555555555557</v>
      </c>
      <c r="AE139" s="75" t="s">
        <v>39</v>
      </c>
      <c r="AF139" s="76">
        <f>28*100/45</f>
        <v>62.222222222222221</v>
      </c>
      <c r="AG139" s="76">
        <f>6*100/45</f>
        <v>13.333333333333334</v>
      </c>
      <c r="AH139" s="76">
        <f>11*100/45</f>
        <v>24.444444444444443</v>
      </c>
      <c r="AI139" s="56"/>
      <c r="AK139" s="56"/>
      <c r="AL139" s="56"/>
      <c r="AM139" s="56"/>
      <c r="AN139" s="56"/>
      <c r="AP139" s="56"/>
      <c r="AQ139" s="56"/>
      <c r="AR139" s="56"/>
      <c r="AS139" s="56"/>
      <c r="AT139" s="56"/>
      <c r="AV139" s="56"/>
      <c r="AW139" s="56"/>
      <c r="AX139" s="56"/>
      <c r="AY139" s="56"/>
      <c r="AZ139" s="56"/>
    </row>
    <row r="140" spans="2:52" ht="13.2">
      <c r="B140" s="41" t="s">
        <v>21</v>
      </c>
      <c r="C140" s="76">
        <f>3*100/39</f>
        <v>7.6923076923076925</v>
      </c>
      <c r="D140" s="76">
        <f>34*100/39</f>
        <v>87.179487179487182</v>
      </c>
      <c r="E140" s="76">
        <f>1*100/39</f>
        <v>2.5641025641025643</v>
      </c>
      <c r="F140" s="51">
        <f t="shared" ref="F140:G140" si="59">0*100/39</f>
        <v>0</v>
      </c>
      <c r="G140" s="51">
        <f t="shared" si="59"/>
        <v>0</v>
      </c>
      <c r="H140" s="76">
        <f>1*100/39</f>
        <v>2.5641025641025643</v>
      </c>
      <c r="I140" s="56"/>
      <c r="J140" s="56"/>
      <c r="K140" s="69" t="s">
        <v>48</v>
      </c>
      <c r="L140" s="74">
        <f>'tabelas dinâmicas'!AB7*100/'tabelas dinâmicas'!AE7</f>
        <v>22.222222222222221</v>
      </c>
      <c r="M140" s="74">
        <f>'tabelas dinâmicas'!AC7*100/'tabelas dinâmicas'!AE7</f>
        <v>37.777777777777779</v>
      </c>
      <c r="N140" s="30">
        <f>'tabelas dinâmicas'!AD7*100/'tabelas dinâmicas'!AE7</f>
        <v>40</v>
      </c>
      <c r="O140" s="56"/>
      <c r="P140" s="56"/>
      <c r="Q140" s="79" t="s">
        <v>21</v>
      </c>
      <c r="R140" s="80">
        <f>17*100/39</f>
        <v>43.589743589743591</v>
      </c>
      <c r="S140" s="80">
        <f>22*100/39</f>
        <v>56.410256410256409</v>
      </c>
      <c r="T140" s="56"/>
      <c r="U140" s="75" t="s">
        <v>83</v>
      </c>
      <c r="V140" s="51">
        <f>1*100/5</f>
        <v>20</v>
      </c>
      <c r="W140" s="275">
        <f>3*100/5</f>
        <v>60</v>
      </c>
      <c r="X140" s="252"/>
      <c r="Y140" s="51">
        <f>1*100/5</f>
        <v>20</v>
      </c>
      <c r="Z140" s="56"/>
      <c r="AA140" s="75" t="s">
        <v>83</v>
      </c>
      <c r="AB140" s="51">
        <f>3*100/5</f>
        <v>60</v>
      </c>
      <c r="AC140" s="51">
        <f>2*100/5</f>
        <v>40</v>
      </c>
      <c r="AE140" s="75" t="s">
        <v>83</v>
      </c>
      <c r="AF140" s="52">
        <f>2*100/5</f>
        <v>40</v>
      </c>
      <c r="AG140" s="52">
        <f>0*100/5</f>
        <v>0</v>
      </c>
      <c r="AH140" s="52">
        <f>3*100/5</f>
        <v>60</v>
      </c>
      <c r="AI140" s="56"/>
      <c r="AK140" s="56"/>
      <c r="AL140" s="56"/>
      <c r="AM140" s="56"/>
      <c r="AN140" s="56"/>
      <c r="AP140" s="56"/>
      <c r="AQ140" s="56"/>
      <c r="AR140" s="56"/>
      <c r="AS140" s="56"/>
      <c r="AT140" s="56"/>
      <c r="AV140" s="56"/>
      <c r="AW140" s="56"/>
      <c r="AX140" s="56"/>
      <c r="AY140" s="56"/>
      <c r="AZ140" s="56"/>
    </row>
    <row r="141" spans="2:52" ht="13.2">
      <c r="B141" s="41" t="s">
        <v>74</v>
      </c>
      <c r="C141" s="52">
        <f>1*100/8</f>
        <v>12.5</v>
      </c>
      <c r="D141" s="52">
        <f>5*100/8</f>
        <v>62.5</v>
      </c>
      <c r="E141" s="52">
        <f>1*100/8</f>
        <v>12.5</v>
      </c>
      <c r="F141" s="52">
        <f t="shared" ref="F141:G141" si="60">0*100/8</f>
        <v>0</v>
      </c>
      <c r="G141" s="52">
        <f t="shared" si="60"/>
        <v>0</v>
      </c>
      <c r="H141" s="52">
        <f>1*100/8</f>
        <v>12.5</v>
      </c>
      <c r="I141" s="56"/>
      <c r="J141" s="56"/>
      <c r="K141" s="69" t="s">
        <v>19</v>
      </c>
      <c r="L141" s="74">
        <f>'tabelas dinâmicas'!AB9*100/'tabelas dinâmicas'!AE9</f>
        <v>22.972972972972972</v>
      </c>
      <c r="M141" s="74">
        <f>'tabelas dinâmicas'!AC9*100/'tabelas dinâmicas'!AE9</f>
        <v>38.513513513513516</v>
      </c>
      <c r="N141" s="74">
        <f>'tabelas dinâmicas'!AD9*100/'tabelas dinâmicas'!AE9</f>
        <v>38.513513513513516</v>
      </c>
      <c r="O141" s="56"/>
      <c r="P141" s="56"/>
      <c r="Q141" s="79" t="s">
        <v>74</v>
      </c>
      <c r="R141" s="80">
        <f>6*100/7</f>
        <v>85.714285714285708</v>
      </c>
      <c r="S141" s="80">
        <f>1*100/7</f>
        <v>14.285714285714286</v>
      </c>
      <c r="T141" s="56"/>
      <c r="U141" s="75" t="s">
        <v>89</v>
      </c>
      <c r="V141" s="76">
        <f>1*100/3</f>
        <v>33.333333333333336</v>
      </c>
      <c r="W141" s="267">
        <f>0*100/3</f>
        <v>0</v>
      </c>
      <c r="X141" s="252"/>
      <c r="Y141" s="76">
        <f>2*100/3</f>
        <v>66.666666666666671</v>
      </c>
      <c r="Z141" s="56"/>
      <c r="AA141" s="75" t="s">
        <v>89</v>
      </c>
      <c r="AB141" s="76">
        <f>1*100/3</f>
        <v>33.333333333333336</v>
      </c>
      <c r="AC141" s="76">
        <f>2*100/3</f>
        <v>66.666666666666671</v>
      </c>
      <c r="AE141" s="75" t="s">
        <v>89</v>
      </c>
      <c r="AF141" s="76">
        <f>2*100/3</f>
        <v>66.666666666666671</v>
      </c>
      <c r="AG141" s="52">
        <f>0*100/3</f>
        <v>0</v>
      </c>
      <c r="AH141" s="76">
        <f>1*100/3</f>
        <v>33.333333333333336</v>
      </c>
      <c r="AK141" s="56"/>
      <c r="AL141" s="56"/>
      <c r="AM141" s="56"/>
      <c r="AN141" s="56"/>
      <c r="AP141" s="56"/>
      <c r="AQ141" s="56"/>
      <c r="AR141" s="56"/>
      <c r="AS141" s="56"/>
      <c r="AT141" s="56"/>
      <c r="AV141" s="56"/>
      <c r="AW141" s="56"/>
      <c r="AX141" s="56"/>
      <c r="AY141" s="56"/>
      <c r="AZ141" s="56"/>
    </row>
    <row r="142" spans="2:52" ht="13.2">
      <c r="B142" s="41" t="s">
        <v>58</v>
      </c>
      <c r="C142" s="52">
        <f>0*100/1</f>
        <v>0</v>
      </c>
      <c r="D142" s="52">
        <f>1*100/1</f>
        <v>100</v>
      </c>
      <c r="E142" s="52">
        <f t="shared" ref="E142:H142" si="61">0*100/1</f>
        <v>0</v>
      </c>
      <c r="F142" s="52">
        <f t="shared" si="61"/>
        <v>0</v>
      </c>
      <c r="G142" s="52">
        <f t="shared" si="61"/>
        <v>0</v>
      </c>
      <c r="H142" s="52">
        <f t="shared" si="61"/>
        <v>0</v>
      </c>
      <c r="K142" s="69" t="s">
        <v>97</v>
      </c>
      <c r="L142" s="30">
        <f>'tabelas dinâmicas'!AB10*100/'tabelas dinâmicas'!AE10</f>
        <v>20</v>
      </c>
      <c r="M142" s="30">
        <f>'tabelas dinâmicas'!AC10*100/'tabelas dinâmicas'!AE10</f>
        <v>40</v>
      </c>
      <c r="N142" s="30">
        <f>'tabelas dinâmicas'!AD10*100/'tabelas dinâmicas'!AE10</f>
        <v>40</v>
      </c>
      <c r="Q142" s="79" t="s">
        <v>58</v>
      </c>
      <c r="R142" s="81">
        <f>1*100/1</f>
        <v>100</v>
      </c>
      <c r="S142" s="81">
        <f>0*100/1</f>
        <v>0</v>
      </c>
    </row>
    <row r="143" spans="2:52" ht="13.2">
      <c r="B143" s="41" t="s">
        <v>132</v>
      </c>
      <c r="C143" s="52">
        <f t="shared" ref="C143:D143" si="62">1*100/2</f>
        <v>50</v>
      </c>
      <c r="D143" s="52">
        <f t="shared" si="62"/>
        <v>50</v>
      </c>
      <c r="E143" s="52">
        <f t="shared" ref="E143:H143" si="63">0*100/2</f>
        <v>0</v>
      </c>
      <c r="F143" s="52">
        <f t="shared" si="63"/>
        <v>0</v>
      </c>
      <c r="G143" s="52">
        <f t="shared" si="63"/>
        <v>0</v>
      </c>
      <c r="H143" s="52">
        <f t="shared" si="63"/>
        <v>0</v>
      </c>
      <c r="K143" s="69" t="s">
        <v>143</v>
      </c>
      <c r="L143" s="30">
        <f>'tabelas dinâmicas'!AB11*100/'tabelas dinâmicas'!AE11</f>
        <v>0</v>
      </c>
      <c r="M143" s="30">
        <f>'tabelas dinâmicas'!AC11*100/'tabelas dinâmicas'!AE11</f>
        <v>0</v>
      </c>
      <c r="N143" s="30">
        <f>'tabelas dinâmicas'!AD11*100/'tabelas dinâmicas'!AE11</f>
        <v>100</v>
      </c>
      <c r="Q143" s="79" t="s">
        <v>132</v>
      </c>
      <c r="R143" s="81">
        <f t="shared" ref="R143:S143" si="64">1*100/2</f>
        <v>50</v>
      </c>
      <c r="S143" s="81">
        <f t="shared" si="64"/>
        <v>50</v>
      </c>
    </row>
    <row r="144" spans="2:52" ht="13.2">
      <c r="B144" s="41" t="s">
        <v>35</v>
      </c>
      <c r="C144" s="76">
        <f>14*100/62</f>
        <v>22.580645161290324</v>
      </c>
      <c r="D144" s="76">
        <f>46*100/62</f>
        <v>74.193548387096769</v>
      </c>
      <c r="E144" s="74">
        <f>1*100/62</f>
        <v>1.6129032258064515</v>
      </c>
      <c r="F144" s="52">
        <f t="shared" ref="F144:G144" si="65">0*100/62</f>
        <v>0</v>
      </c>
      <c r="G144" s="52">
        <f t="shared" si="65"/>
        <v>0</v>
      </c>
      <c r="H144" s="76">
        <f>1*100/62</f>
        <v>1.6129032258064515</v>
      </c>
      <c r="K144" s="69" t="s">
        <v>87</v>
      </c>
      <c r="L144" s="30">
        <f>'tabelas dinâmicas'!AB12*100/'tabelas dinâmicas'!AE12</f>
        <v>50</v>
      </c>
      <c r="M144" s="74">
        <f>'tabelas dinâmicas'!AC12*100/'tabelas dinâmicas'!AE12</f>
        <v>33.333333333333336</v>
      </c>
      <c r="N144" s="74">
        <f>'tabelas dinâmicas'!AD12*100/'tabelas dinâmicas'!AE12</f>
        <v>16.666666666666668</v>
      </c>
      <c r="Q144" s="79" t="s">
        <v>35</v>
      </c>
      <c r="R144" s="81">
        <f>21*100/60</f>
        <v>35</v>
      </c>
      <c r="S144" s="81">
        <f>39*100/60</f>
        <v>65</v>
      </c>
    </row>
    <row r="145" spans="2:44" ht="13.2">
      <c r="B145" s="41" t="s">
        <v>179</v>
      </c>
      <c r="C145" s="52">
        <f>0*100/2</f>
        <v>0</v>
      </c>
      <c r="D145" s="52">
        <f>'tabelas dinâmicas'!K11*100/'tabelas dinâmicas'!O11</f>
        <v>33.333333333333336</v>
      </c>
      <c r="E145" s="52">
        <f t="shared" ref="E145:H145" si="66">0*100/2</f>
        <v>0</v>
      </c>
      <c r="F145" s="52">
        <f t="shared" si="66"/>
        <v>0</v>
      </c>
      <c r="G145" s="52">
        <f t="shared" si="66"/>
        <v>0</v>
      </c>
      <c r="H145" s="52">
        <f t="shared" si="66"/>
        <v>0</v>
      </c>
      <c r="I145" s="56"/>
      <c r="J145" s="56"/>
      <c r="K145" s="69" t="s">
        <v>62</v>
      </c>
      <c r="L145" s="74">
        <f>'tabelas dinâmicas'!AB8*100/'tabelas dinâmicas'!AE8</f>
        <v>14.285714285714286</v>
      </c>
      <c r="M145" s="74">
        <f>'tabelas dinâmicas'!AC8*100/'tabelas dinâmicas'!AE8</f>
        <v>28.571428571428573</v>
      </c>
      <c r="N145" s="74">
        <f>'tabelas dinâmicas'!AD8*100/'tabelas dinâmicas'!AE8</f>
        <v>57.142857142857146</v>
      </c>
      <c r="Q145" s="79" t="s">
        <v>179</v>
      </c>
      <c r="R145" s="81">
        <f>0*100/2</f>
        <v>0</v>
      </c>
      <c r="S145" s="81">
        <f>2*100/2</f>
        <v>100</v>
      </c>
      <c r="T145" s="56"/>
      <c r="U145" s="56"/>
      <c r="W145" s="56"/>
      <c r="X145" s="56"/>
      <c r="Y145" s="56"/>
      <c r="Z145" s="56"/>
      <c r="AA145" s="56"/>
      <c r="AC145" s="56"/>
      <c r="AD145" s="56"/>
      <c r="AE145" s="56"/>
      <c r="AF145" s="56"/>
      <c r="AH145" s="56"/>
      <c r="AI145" s="56"/>
      <c r="AJ145" s="56"/>
      <c r="AK145" s="56"/>
      <c r="AL145" s="56"/>
      <c r="AN145" s="56"/>
      <c r="AO145" s="56"/>
      <c r="AP145" s="56"/>
      <c r="AQ145" s="56"/>
      <c r="AR145" s="56"/>
    </row>
    <row r="146" spans="2:44" ht="13.8">
      <c r="B146" s="41" t="s">
        <v>148</v>
      </c>
      <c r="C146" s="76">
        <f>2*100/3</f>
        <v>66.666666666666671</v>
      </c>
      <c r="D146" s="76">
        <f>1*100/3</f>
        <v>33.333333333333336</v>
      </c>
      <c r="E146" s="52">
        <f t="shared" ref="E146:H146" si="67">0*100/3</f>
        <v>0</v>
      </c>
      <c r="F146" s="52">
        <f t="shared" si="67"/>
        <v>0</v>
      </c>
      <c r="G146" s="52">
        <f t="shared" si="67"/>
        <v>0</v>
      </c>
      <c r="H146" s="52">
        <f t="shared" si="67"/>
        <v>0</v>
      </c>
      <c r="I146" s="56"/>
      <c r="J146" s="56"/>
      <c r="Q146" s="79" t="s">
        <v>148</v>
      </c>
      <c r="R146" s="80">
        <f t="shared" ref="R146:R147" si="68">1*100/3</f>
        <v>33.333333333333336</v>
      </c>
      <c r="S146" s="80">
        <f t="shared" ref="S146:S147" si="69">2*100/3</f>
        <v>66.666666666666671</v>
      </c>
      <c r="T146" s="56"/>
      <c r="U146" s="56"/>
      <c r="W146" s="56"/>
      <c r="X146" s="56"/>
      <c r="Y146" s="56"/>
      <c r="Z146" s="285" t="s">
        <v>308</v>
      </c>
      <c r="AA146" s="256"/>
      <c r="AB146" s="256"/>
      <c r="AC146" s="252"/>
      <c r="AD146" s="56"/>
      <c r="AE146" s="56"/>
      <c r="AF146" s="56"/>
      <c r="AH146" s="56"/>
      <c r="AI146" s="56"/>
      <c r="AJ146" s="56"/>
      <c r="AK146" s="56"/>
      <c r="AL146" s="56"/>
      <c r="AN146" s="56"/>
      <c r="AO146" s="56"/>
      <c r="AP146" s="56"/>
      <c r="AQ146" s="56"/>
      <c r="AR146" s="56"/>
    </row>
    <row r="147" spans="2:44" ht="13.8">
      <c r="B147" s="41" t="s">
        <v>82</v>
      </c>
      <c r="C147" s="76">
        <f>1*100/3</f>
        <v>33.333333333333336</v>
      </c>
      <c r="D147" s="76">
        <f>2*100/3</f>
        <v>66.666666666666671</v>
      </c>
      <c r="E147" s="77">
        <f t="shared" ref="E147:H147" si="70">0*100/3</f>
        <v>0</v>
      </c>
      <c r="F147" s="77">
        <f t="shared" si="70"/>
        <v>0</v>
      </c>
      <c r="G147" s="77">
        <f t="shared" si="70"/>
        <v>0</v>
      </c>
      <c r="H147" s="77">
        <f t="shared" si="70"/>
        <v>0</v>
      </c>
      <c r="I147" s="56"/>
      <c r="J147" s="56"/>
      <c r="K147" s="286" t="s">
        <v>309</v>
      </c>
      <c r="L147" s="254"/>
      <c r="M147" s="254"/>
      <c r="N147" s="254"/>
      <c r="O147" s="56"/>
      <c r="Q147" s="79" t="s">
        <v>82</v>
      </c>
      <c r="R147" s="80">
        <f t="shared" si="68"/>
        <v>33.333333333333336</v>
      </c>
      <c r="S147" s="80">
        <f t="shared" si="69"/>
        <v>66.666666666666671</v>
      </c>
      <c r="T147" s="56"/>
      <c r="U147" s="56"/>
      <c r="W147" s="56"/>
      <c r="X147" s="56"/>
      <c r="Y147" s="56"/>
      <c r="Z147" s="82"/>
      <c r="AA147" s="72" t="s">
        <v>310</v>
      </c>
      <c r="AB147" s="72" t="s">
        <v>311</v>
      </c>
      <c r="AC147" s="72" t="s">
        <v>312</v>
      </c>
      <c r="AD147" s="56"/>
      <c r="AE147" s="56"/>
      <c r="AF147" s="56"/>
      <c r="AH147" s="56"/>
      <c r="AI147" s="56"/>
      <c r="AJ147" s="56"/>
      <c r="AK147" s="56"/>
      <c r="AL147" s="56"/>
      <c r="AN147" s="56"/>
      <c r="AO147" s="56"/>
      <c r="AP147" s="56"/>
      <c r="AQ147" s="56"/>
      <c r="AR147" s="56"/>
    </row>
    <row r="148" spans="2:44" ht="13.2">
      <c r="B148" s="41" t="s">
        <v>32</v>
      </c>
      <c r="C148" s="76">
        <f>5*100/21</f>
        <v>23.80952380952381</v>
      </c>
      <c r="D148" s="76">
        <f>12*100/21</f>
        <v>57.142857142857146</v>
      </c>
      <c r="E148" s="74">
        <f>2*100/21</f>
        <v>9.5238095238095237</v>
      </c>
      <c r="F148" s="52">
        <f>0*100/21</f>
        <v>0</v>
      </c>
      <c r="G148" s="74">
        <f>2*100/21</f>
        <v>9.5238095238095237</v>
      </c>
      <c r="H148" s="52">
        <f>0*100/21</f>
        <v>0</v>
      </c>
      <c r="I148" s="56"/>
      <c r="J148" s="56"/>
      <c r="K148" s="254"/>
      <c r="L148" s="254"/>
      <c r="M148" s="254"/>
      <c r="N148" s="254"/>
      <c r="O148" s="56"/>
      <c r="Q148" s="79" t="s">
        <v>32</v>
      </c>
      <c r="R148" s="80">
        <f>6*100/21</f>
        <v>28.571428571428573</v>
      </c>
      <c r="S148" s="80">
        <f>15*100/21</f>
        <v>71.428571428571431</v>
      </c>
      <c r="T148" s="56"/>
      <c r="U148" s="56"/>
      <c r="W148" s="56"/>
      <c r="X148" s="56"/>
      <c r="Y148" s="56"/>
      <c r="Z148" s="75" t="s">
        <v>21</v>
      </c>
      <c r="AA148" s="76">
        <f>2*100/39</f>
        <v>5.1282051282051286</v>
      </c>
      <c r="AB148" s="76">
        <f>6*100/39</f>
        <v>15.384615384615385</v>
      </c>
      <c r="AC148" s="76">
        <f>31*100/39</f>
        <v>79.487179487179489</v>
      </c>
      <c r="AD148" s="56"/>
      <c r="AE148" s="56"/>
      <c r="AF148" s="56"/>
      <c r="AH148" s="56"/>
      <c r="AI148" s="56"/>
      <c r="AJ148" s="56"/>
      <c r="AK148" s="56"/>
      <c r="AL148" s="56"/>
      <c r="AN148" s="56"/>
      <c r="AO148" s="56"/>
      <c r="AP148" s="56"/>
      <c r="AQ148" s="56"/>
      <c r="AR148" s="56"/>
    </row>
    <row r="149" spans="2:44" ht="13.2">
      <c r="B149" s="41" t="s">
        <v>39</v>
      </c>
      <c r="C149" s="76">
        <f>11*100/45</f>
        <v>24.444444444444443</v>
      </c>
      <c r="D149" s="74">
        <f>28*100/45</f>
        <v>62.222222222222221</v>
      </c>
      <c r="E149" s="30">
        <f>0*100/45</f>
        <v>0</v>
      </c>
      <c r="F149" s="74">
        <f>1*100/45</f>
        <v>2.2222222222222223</v>
      </c>
      <c r="G149" s="74">
        <f>3*100/45</f>
        <v>6.666666666666667</v>
      </c>
      <c r="H149" s="74">
        <f>2*100/45</f>
        <v>4.4444444444444446</v>
      </c>
      <c r="I149" s="56"/>
      <c r="J149" s="56"/>
      <c r="K149" s="56"/>
      <c r="L149" s="56"/>
      <c r="M149" s="56"/>
      <c r="N149" s="56"/>
      <c r="O149" s="56"/>
      <c r="Q149" s="79" t="s">
        <v>39</v>
      </c>
      <c r="R149" s="80">
        <f>30*100/45</f>
        <v>66.666666666666671</v>
      </c>
      <c r="S149" s="80">
        <f>15*100/45</f>
        <v>33.333333333333336</v>
      </c>
      <c r="T149" s="56"/>
      <c r="U149" s="56"/>
      <c r="W149" s="56"/>
      <c r="X149" s="56"/>
      <c r="Y149" s="56"/>
      <c r="Z149" s="75" t="s">
        <v>74</v>
      </c>
      <c r="AA149" s="52">
        <f>1*100/8</f>
        <v>12.5</v>
      </c>
      <c r="AB149" s="52">
        <f>0*100/8</f>
        <v>0</v>
      </c>
      <c r="AC149" s="52">
        <f>7*100/8</f>
        <v>87.5</v>
      </c>
      <c r="AD149" s="56"/>
      <c r="AE149" s="56"/>
      <c r="AF149" s="56"/>
      <c r="AH149" s="56"/>
      <c r="AI149" s="56"/>
      <c r="AJ149" s="56"/>
      <c r="AK149" s="56"/>
      <c r="AL149" s="56"/>
      <c r="AN149" s="56"/>
      <c r="AO149" s="56"/>
      <c r="AP149" s="56"/>
      <c r="AQ149" s="56"/>
      <c r="AR149" s="56"/>
    </row>
    <row r="150" spans="2:44" ht="13.2">
      <c r="B150" s="41" t="s">
        <v>83</v>
      </c>
      <c r="C150" s="52">
        <f>2*100/5</f>
        <v>40</v>
      </c>
      <c r="D150" s="52">
        <f>3*100/5</f>
        <v>60</v>
      </c>
      <c r="E150" s="52">
        <f t="shared" ref="E150:H150" si="71">0*100/5</f>
        <v>0</v>
      </c>
      <c r="F150" s="52">
        <f t="shared" si="71"/>
        <v>0</v>
      </c>
      <c r="G150" s="52">
        <f t="shared" si="71"/>
        <v>0</v>
      </c>
      <c r="H150" s="52">
        <f t="shared" si="71"/>
        <v>0</v>
      </c>
      <c r="I150" s="56"/>
      <c r="J150" s="56"/>
      <c r="K150" s="56"/>
      <c r="L150" s="56"/>
      <c r="M150" s="56"/>
      <c r="N150" s="56"/>
      <c r="O150" s="56"/>
      <c r="Q150" s="79" t="s">
        <v>83</v>
      </c>
      <c r="R150" s="81">
        <f>4*100/5</f>
        <v>80</v>
      </c>
      <c r="S150" s="81">
        <f>1*100/5</f>
        <v>20</v>
      </c>
      <c r="T150" s="56"/>
      <c r="U150" s="56"/>
      <c r="W150" s="56"/>
      <c r="X150" s="56"/>
      <c r="Y150" s="56"/>
      <c r="Z150" s="75" t="s">
        <v>58</v>
      </c>
      <c r="AA150" s="52">
        <f t="shared" ref="AA150:AB150" si="72">0*100/1</f>
        <v>0</v>
      </c>
      <c r="AB150" s="52">
        <f t="shared" si="72"/>
        <v>0</v>
      </c>
      <c r="AC150" s="52">
        <f>1*100/1</f>
        <v>100</v>
      </c>
      <c r="AD150" s="56"/>
      <c r="AE150" s="56"/>
      <c r="AF150" s="56"/>
      <c r="AH150" s="56"/>
      <c r="AI150" s="56"/>
      <c r="AJ150" s="56"/>
      <c r="AK150" s="56"/>
      <c r="AL150" s="56"/>
      <c r="AN150" s="56"/>
      <c r="AO150" s="56"/>
      <c r="AP150" s="56"/>
      <c r="AQ150" s="56"/>
      <c r="AR150" s="56"/>
    </row>
    <row r="151" spans="2:44" ht="13.8">
      <c r="B151" s="83" t="s">
        <v>89</v>
      </c>
      <c r="C151" s="76">
        <f>1*100/3</f>
        <v>33.333333333333336</v>
      </c>
      <c r="D151" s="76">
        <f>2*100/3</f>
        <v>66.666666666666671</v>
      </c>
      <c r="E151" s="52">
        <f t="shared" ref="E151:H151" si="73">0*100/3</f>
        <v>0</v>
      </c>
      <c r="F151" s="52">
        <f t="shared" si="73"/>
        <v>0</v>
      </c>
      <c r="G151" s="52">
        <f t="shared" si="73"/>
        <v>0</v>
      </c>
      <c r="H151" s="52">
        <f t="shared" si="73"/>
        <v>0</v>
      </c>
      <c r="I151" s="56"/>
      <c r="J151" s="56"/>
      <c r="K151" s="56"/>
      <c r="L151" s="56"/>
      <c r="M151" s="56"/>
      <c r="N151" s="56"/>
      <c r="O151" s="56"/>
      <c r="Q151" s="79" t="s">
        <v>89</v>
      </c>
      <c r="R151" s="80">
        <f>1*100/3</f>
        <v>33.333333333333336</v>
      </c>
      <c r="S151" s="80">
        <f>2*100/3</f>
        <v>66.666666666666671</v>
      </c>
      <c r="T151" s="56"/>
      <c r="U151" s="56"/>
      <c r="W151" s="56"/>
      <c r="X151" s="56"/>
      <c r="Y151" s="56"/>
      <c r="Z151" s="75" t="s">
        <v>132</v>
      </c>
      <c r="AA151" s="52">
        <f t="shared" ref="AA151:AB151" si="74">0*100/1</f>
        <v>0</v>
      </c>
      <c r="AB151" s="52">
        <f t="shared" si="74"/>
        <v>0</v>
      </c>
      <c r="AC151" s="67">
        <f>2*100/2</f>
        <v>100</v>
      </c>
      <c r="AD151" s="56"/>
      <c r="AE151" s="56"/>
      <c r="AF151" s="56"/>
      <c r="AH151" s="56"/>
      <c r="AI151" s="56"/>
      <c r="AJ151" s="56"/>
      <c r="AK151" s="56"/>
      <c r="AL151" s="56"/>
      <c r="AN151" s="56"/>
      <c r="AO151" s="56"/>
      <c r="AP151" s="56"/>
      <c r="AQ151" s="56"/>
      <c r="AR151" s="56"/>
    </row>
    <row r="152" spans="2:44" ht="13.8">
      <c r="B152" s="56"/>
      <c r="C152" s="56"/>
      <c r="D152" s="56"/>
      <c r="E152" s="56"/>
      <c r="G152" s="56"/>
      <c r="H152" s="56"/>
      <c r="I152" s="56"/>
      <c r="J152" s="56"/>
      <c r="K152" s="56"/>
      <c r="L152" s="56"/>
      <c r="M152" s="56"/>
      <c r="N152" s="56"/>
      <c r="O152" s="56"/>
      <c r="Q152" s="56"/>
      <c r="R152" s="56"/>
      <c r="S152" s="56"/>
      <c r="T152" s="56"/>
      <c r="U152" s="56"/>
      <c r="W152" s="56"/>
      <c r="X152" s="56"/>
      <c r="Y152" s="56"/>
      <c r="Z152" s="75" t="s">
        <v>35</v>
      </c>
      <c r="AA152" s="52">
        <f>0*100/62</f>
        <v>0</v>
      </c>
      <c r="AB152" s="84">
        <f>14*100/62</f>
        <v>22.580645161290324</v>
      </c>
      <c r="AC152" s="84">
        <f>48*100/62</f>
        <v>77.41935483870968</v>
      </c>
      <c r="AD152" s="56"/>
      <c r="AE152" s="56"/>
      <c r="AF152" s="56"/>
      <c r="AH152" s="56"/>
      <c r="AI152" s="56"/>
      <c r="AJ152" s="56"/>
      <c r="AK152" s="56"/>
      <c r="AL152" s="56"/>
      <c r="AN152" s="56"/>
      <c r="AO152" s="56"/>
      <c r="AP152" s="56"/>
      <c r="AQ152" s="56"/>
      <c r="AR152" s="56"/>
    </row>
    <row r="153" spans="2:44" ht="12.6">
      <c r="B153" s="56"/>
      <c r="C153" s="56"/>
      <c r="D153" s="56"/>
      <c r="E153" s="56"/>
      <c r="G153" s="56"/>
      <c r="H153" s="56"/>
      <c r="I153" s="56"/>
      <c r="J153" s="56"/>
      <c r="K153" s="56"/>
      <c r="L153" s="56"/>
      <c r="M153" s="56"/>
      <c r="N153" s="56"/>
      <c r="O153" s="56"/>
      <c r="Q153" s="56"/>
      <c r="R153" s="56"/>
      <c r="S153" s="56"/>
      <c r="T153" s="56"/>
      <c r="U153" s="56"/>
      <c r="W153" s="56"/>
      <c r="X153" s="56"/>
      <c r="Y153" s="56"/>
      <c r="Z153" s="75" t="s">
        <v>179</v>
      </c>
      <c r="AA153" s="52">
        <f t="shared" ref="AA153:AB153" si="75">0*100/2</f>
        <v>0</v>
      </c>
      <c r="AB153" s="52">
        <f t="shared" si="75"/>
        <v>0</v>
      </c>
      <c r="AC153" s="52">
        <f>2*100/2</f>
        <v>100</v>
      </c>
      <c r="AD153" s="56"/>
      <c r="AE153" s="56"/>
      <c r="AF153" s="56"/>
      <c r="AH153" s="56"/>
      <c r="AI153" s="56"/>
      <c r="AJ153" s="56"/>
      <c r="AK153" s="56"/>
      <c r="AL153" s="56"/>
      <c r="AN153" s="56"/>
      <c r="AO153" s="56"/>
      <c r="AP153" s="56"/>
      <c r="AQ153" s="56"/>
      <c r="AR153" s="56"/>
    </row>
    <row r="154" spans="2:44" ht="13.8">
      <c r="B154" s="56"/>
      <c r="C154" s="56"/>
      <c r="D154" s="56"/>
      <c r="E154" s="257" t="s">
        <v>313</v>
      </c>
      <c r="F154" s="256"/>
      <c r="G154" s="256"/>
      <c r="H154" s="256"/>
      <c r="I154" s="256"/>
      <c r="J154" s="256"/>
      <c r="K154" s="256"/>
      <c r="L154" s="252"/>
      <c r="M154" s="56"/>
      <c r="N154" s="257" t="s">
        <v>314</v>
      </c>
      <c r="O154" s="256"/>
      <c r="P154" s="256"/>
      <c r="Q154" s="256"/>
      <c r="R154" s="252"/>
      <c r="S154" s="56"/>
      <c r="T154" s="257" t="s">
        <v>315</v>
      </c>
      <c r="U154" s="256"/>
      <c r="V154" s="256"/>
      <c r="W154" s="256"/>
      <c r="X154" s="252"/>
      <c r="Y154" s="56"/>
      <c r="Z154" s="75" t="s">
        <v>148</v>
      </c>
      <c r="AA154" s="52">
        <f>0*100/3</f>
        <v>0</v>
      </c>
      <c r="AB154" s="51">
        <f>2*100/3</f>
        <v>66.666666666666671</v>
      </c>
      <c r="AC154" s="85">
        <f>1*100/3</f>
        <v>33.333333333333336</v>
      </c>
      <c r="AD154" s="56"/>
      <c r="AE154" s="56"/>
      <c r="AF154" s="56"/>
      <c r="AH154" s="56"/>
      <c r="AI154" s="56"/>
      <c r="AJ154" s="56"/>
      <c r="AK154" s="56"/>
      <c r="AL154" s="56"/>
      <c r="AN154" s="56"/>
      <c r="AO154" s="56"/>
      <c r="AP154" s="56"/>
      <c r="AQ154" s="56"/>
      <c r="AR154" s="56"/>
    </row>
    <row r="155" spans="2:44" ht="13.8">
      <c r="B155" s="279" t="s">
        <v>316</v>
      </c>
      <c r="C155" s="271"/>
      <c r="D155" s="56"/>
      <c r="E155" s="70" t="s">
        <v>317</v>
      </c>
      <c r="F155" s="86" t="s">
        <v>318</v>
      </c>
      <c r="G155" s="86" t="s">
        <v>319</v>
      </c>
      <c r="H155" s="86" t="s">
        <v>320</v>
      </c>
      <c r="I155" s="86" t="s">
        <v>321</v>
      </c>
      <c r="J155" s="86" t="s">
        <v>322</v>
      </c>
      <c r="K155" s="86" t="s">
        <v>323</v>
      </c>
      <c r="L155" s="87"/>
      <c r="M155" s="56"/>
      <c r="N155" s="88" t="s">
        <v>324</v>
      </c>
      <c r="O155" s="89"/>
      <c r="P155" s="60"/>
      <c r="Q155" s="72" t="s">
        <v>306</v>
      </c>
      <c r="R155" s="72" t="s">
        <v>307</v>
      </c>
      <c r="S155" s="56"/>
      <c r="T155" s="48"/>
      <c r="U155" s="69" t="s">
        <v>277</v>
      </c>
      <c r="V155" s="284" t="s">
        <v>286</v>
      </c>
      <c r="W155" s="252"/>
      <c r="X155" s="69" t="s">
        <v>278</v>
      </c>
      <c r="Y155" s="56"/>
      <c r="Z155" s="75" t="s">
        <v>82</v>
      </c>
      <c r="AA155" s="76">
        <f t="shared" ref="AA155:AC155" si="76">1*100/3</f>
        <v>33.333333333333336</v>
      </c>
      <c r="AB155" s="76">
        <f t="shared" si="76"/>
        <v>33.333333333333336</v>
      </c>
      <c r="AC155" s="76">
        <f t="shared" si="76"/>
        <v>33.333333333333336</v>
      </c>
      <c r="AD155" s="56"/>
      <c r="AE155" s="56"/>
      <c r="AF155" s="56"/>
      <c r="AH155" s="56"/>
      <c r="AI155" s="56"/>
      <c r="AJ155" s="56"/>
      <c r="AK155" s="56"/>
      <c r="AL155" s="56"/>
      <c r="AN155" s="56"/>
      <c r="AO155" s="56"/>
      <c r="AP155" s="56"/>
      <c r="AQ155" s="56"/>
      <c r="AR155" s="56"/>
    </row>
    <row r="156" spans="2:44" ht="12.6">
      <c r="B156" s="30" t="s">
        <v>325</v>
      </c>
      <c r="C156" s="30" t="s">
        <v>326</v>
      </c>
      <c r="D156" s="56"/>
      <c r="E156" s="75" t="s">
        <v>21</v>
      </c>
      <c r="F156" s="76">
        <f>6*100/39</f>
        <v>15.384615384615385</v>
      </c>
      <c r="G156" s="74">
        <f>26*100/39</f>
        <v>66.666666666666671</v>
      </c>
      <c r="H156" s="76">
        <f>1*100/39</f>
        <v>2.5641025641025643</v>
      </c>
      <c r="I156" s="76">
        <f>5*100/39</f>
        <v>12.820512820512821</v>
      </c>
      <c r="J156" s="76">
        <f>1*100/39</f>
        <v>2.5641025641025643</v>
      </c>
      <c r="K156" s="251">
        <f>0*100/29</f>
        <v>0</v>
      </c>
      <c r="L156" s="252"/>
      <c r="M156" s="56"/>
      <c r="N156" s="277" t="s">
        <v>21</v>
      </c>
      <c r="O156" s="256"/>
      <c r="P156" s="252"/>
      <c r="Q156" s="76">
        <f>17*100/39</f>
        <v>43.589743589743591</v>
      </c>
      <c r="R156" s="76">
        <f>22*100/39</f>
        <v>56.410256410256409</v>
      </c>
      <c r="S156" s="56"/>
      <c r="T156" s="75" t="s">
        <v>21</v>
      </c>
      <c r="U156" s="76">
        <f>7*100/39</f>
        <v>17.948717948717949</v>
      </c>
      <c r="V156" s="275">
        <f>20*100/39</f>
        <v>51.282051282051285</v>
      </c>
      <c r="W156" s="252"/>
      <c r="X156" s="76">
        <f>12*100/39</f>
        <v>30.76923076923077</v>
      </c>
      <c r="Y156" s="56"/>
      <c r="Z156" s="75" t="s">
        <v>32</v>
      </c>
      <c r="AA156" s="76">
        <f>1*100/21</f>
        <v>4.7619047619047619</v>
      </c>
      <c r="AB156" s="76">
        <f>5*100/21</f>
        <v>23.80952380952381</v>
      </c>
      <c r="AC156" s="76">
        <f>15*100/21</f>
        <v>71.428571428571431</v>
      </c>
      <c r="AD156" s="56"/>
      <c r="AE156" s="56"/>
      <c r="AF156" s="56"/>
      <c r="AH156" s="56"/>
      <c r="AI156" s="56"/>
      <c r="AJ156" s="56"/>
      <c r="AK156" s="56"/>
      <c r="AL156" s="56"/>
      <c r="AN156" s="56"/>
      <c r="AO156" s="56"/>
      <c r="AP156" s="56"/>
      <c r="AQ156" s="56"/>
      <c r="AR156" s="56"/>
    </row>
    <row r="157" spans="2:44" ht="12.6">
      <c r="B157" s="69" t="s">
        <v>21</v>
      </c>
      <c r="C157" s="76">
        <f>35*100/175</f>
        <v>20</v>
      </c>
      <c r="D157" s="56"/>
      <c r="E157" s="75" t="s">
        <v>74</v>
      </c>
      <c r="F157" s="76">
        <f>2*100/8</f>
        <v>25</v>
      </c>
      <c r="G157" s="74">
        <f>5*100/8</f>
        <v>62.5</v>
      </c>
      <c r="H157" s="52">
        <f>0*100/8</f>
        <v>0</v>
      </c>
      <c r="I157" s="76">
        <f>1*100/8</f>
        <v>12.5</v>
      </c>
      <c r="J157" s="52">
        <f t="shared" ref="J157:K157" si="77">0*100/8</f>
        <v>0</v>
      </c>
      <c r="K157" s="251">
        <f t="shared" si="77"/>
        <v>0</v>
      </c>
      <c r="L157" s="252"/>
      <c r="M157" s="56"/>
      <c r="N157" s="277" t="s">
        <v>74</v>
      </c>
      <c r="O157" s="256"/>
      <c r="P157" s="252"/>
      <c r="Q157" s="76">
        <f>6*100/7</f>
        <v>85.714285714285708</v>
      </c>
      <c r="R157" s="76">
        <f>1*100/7</f>
        <v>14.285714285714286</v>
      </c>
      <c r="S157" s="56"/>
      <c r="T157" s="75" t="s">
        <v>74</v>
      </c>
      <c r="U157" s="76">
        <f t="shared" ref="U157:V157" si="78">3*100/8</f>
        <v>37.5</v>
      </c>
      <c r="V157" s="275">
        <f t="shared" si="78"/>
        <v>37.5</v>
      </c>
      <c r="W157" s="252"/>
      <c r="X157" s="51">
        <f>2*100/8</f>
        <v>25</v>
      </c>
      <c r="Y157" s="56"/>
      <c r="Z157" s="75" t="s">
        <v>39</v>
      </c>
      <c r="AA157" s="76">
        <f>6*100/45</f>
        <v>13.333333333333334</v>
      </c>
      <c r="AB157" s="76">
        <f>10*100/45</f>
        <v>22.222222222222221</v>
      </c>
      <c r="AC157" s="76">
        <f>29*100/45</f>
        <v>64.444444444444443</v>
      </c>
      <c r="AD157" s="56"/>
      <c r="AE157" s="56"/>
      <c r="AF157" s="56"/>
      <c r="AH157" s="56"/>
      <c r="AI157" s="56"/>
      <c r="AJ157" s="56"/>
      <c r="AK157" s="56"/>
      <c r="AL157" s="56"/>
      <c r="AN157" s="56"/>
      <c r="AO157" s="56"/>
      <c r="AP157" s="56"/>
      <c r="AQ157" s="56"/>
      <c r="AR157" s="56"/>
    </row>
    <row r="158" spans="2:44" ht="13.2">
      <c r="B158" s="79" t="s">
        <v>74</v>
      </c>
      <c r="C158" s="51">
        <f>7*100/175</f>
        <v>4</v>
      </c>
      <c r="D158" s="56"/>
      <c r="E158" s="75" t="s">
        <v>58</v>
      </c>
      <c r="F158" s="51">
        <f>0*100/1</f>
        <v>0</v>
      </c>
      <c r="G158" s="31">
        <f>1*100/1</f>
        <v>100</v>
      </c>
      <c r="H158" s="52">
        <f t="shared" ref="H158:K158" si="79">0*100/1</f>
        <v>0</v>
      </c>
      <c r="I158" s="51">
        <f t="shared" si="79"/>
        <v>0</v>
      </c>
      <c r="J158" s="52">
        <f t="shared" si="79"/>
        <v>0</v>
      </c>
      <c r="K158" s="251">
        <f t="shared" si="79"/>
        <v>0</v>
      </c>
      <c r="L158" s="252"/>
      <c r="M158" s="56"/>
      <c r="N158" s="277" t="s">
        <v>58</v>
      </c>
      <c r="O158" s="256"/>
      <c r="P158" s="252"/>
      <c r="Q158" s="52">
        <f>1*100/1</f>
        <v>100</v>
      </c>
      <c r="R158" s="52">
        <f>0*100/1</f>
        <v>0</v>
      </c>
      <c r="S158" s="56"/>
      <c r="T158" s="75" t="s">
        <v>58</v>
      </c>
      <c r="U158" s="51">
        <f t="shared" ref="U158:V158" si="80">0*100/1</f>
        <v>0</v>
      </c>
      <c r="V158" s="267">
        <f t="shared" si="80"/>
        <v>0</v>
      </c>
      <c r="W158" s="252"/>
      <c r="X158" s="51">
        <f>1*100/1</f>
        <v>100</v>
      </c>
      <c r="Y158" s="56"/>
      <c r="Z158" s="75" t="s">
        <v>83</v>
      </c>
      <c r="AA158" s="52">
        <f>0*100/5</f>
        <v>0</v>
      </c>
      <c r="AB158" s="52">
        <f>3*100/5</f>
        <v>60</v>
      </c>
      <c r="AC158" s="52">
        <f>2*100/5</f>
        <v>40</v>
      </c>
      <c r="AD158" s="56"/>
      <c r="AE158" s="56"/>
      <c r="AF158" s="56"/>
      <c r="AH158" s="56"/>
      <c r="AI158" s="56"/>
      <c r="AJ158" s="56"/>
      <c r="AK158" s="56"/>
      <c r="AL158" s="56"/>
      <c r="AN158" s="56"/>
      <c r="AO158" s="56"/>
      <c r="AP158" s="56"/>
      <c r="AQ158" s="56"/>
      <c r="AR158" s="56"/>
    </row>
    <row r="159" spans="2:44" ht="13.2">
      <c r="B159" s="79" t="s">
        <v>58</v>
      </c>
      <c r="C159" s="76">
        <f>1*100/175</f>
        <v>0.5714285714285714</v>
      </c>
      <c r="D159" s="56"/>
      <c r="E159" s="75" t="s">
        <v>132</v>
      </c>
      <c r="F159" s="51">
        <f>0*100/2</f>
        <v>0</v>
      </c>
      <c r="G159" s="31">
        <f>1*100/2</f>
        <v>50</v>
      </c>
      <c r="H159" s="52">
        <f>0*100/2</f>
        <v>0</v>
      </c>
      <c r="I159" s="76">
        <f>1*100/2</f>
        <v>50</v>
      </c>
      <c r="J159" s="52">
        <f t="shared" ref="J159:K159" si="81">0*100/2</f>
        <v>0</v>
      </c>
      <c r="K159" s="251">
        <f t="shared" si="81"/>
        <v>0</v>
      </c>
      <c r="L159" s="252"/>
      <c r="M159" s="56"/>
      <c r="N159" s="277" t="s">
        <v>132</v>
      </c>
      <c r="O159" s="256"/>
      <c r="P159" s="252"/>
      <c r="Q159" s="52">
        <f t="shared" ref="Q159:R159" si="82">1*100/2</f>
        <v>50</v>
      </c>
      <c r="R159" s="30">
        <f t="shared" si="82"/>
        <v>50</v>
      </c>
      <c r="S159" s="56"/>
      <c r="T159" s="75" t="s">
        <v>132</v>
      </c>
      <c r="U159" s="51">
        <f>0*100/2</f>
        <v>0</v>
      </c>
      <c r="V159" s="267">
        <f>2*100/2</f>
        <v>100</v>
      </c>
      <c r="W159" s="252"/>
      <c r="X159" s="51">
        <f>0*100/2</f>
        <v>0</v>
      </c>
      <c r="Y159" s="56"/>
      <c r="Z159" s="75" t="s">
        <v>89</v>
      </c>
      <c r="AA159" s="52">
        <f t="shared" ref="AA159:AB159" si="83">0*100/3</f>
        <v>0</v>
      </c>
      <c r="AB159" s="52">
        <f t="shared" si="83"/>
        <v>0</v>
      </c>
      <c r="AC159" s="52">
        <f>3*100/3</f>
        <v>100</v>
      </c>
      <c r="AD159" s="56"/>
      <c r="AE159" s="56"/>
      <c r="AF159" s="56"/>
      <c r="AH159" s="56"/>
      <c r="AI159" s="56"/>
      <c r="AJ159" s="56"/>
      <c r="AK159" s="56"/>
      <c r="AL159" s="56"/>
      <c r="AN159" s="56"/>
      <c r="AO159" s="56"/>
      <c r="AP159" s="56"/>
      <c r="AQ159" s="56"/>
      <c r="AR159" s="56"/>
    </row>
    <row r="160" spans="2:44" ht="13.2">
      <c r="B160" s="79" t="s">
        <v>132</v>
      </c>
      <c r="C160" s="76">
        <f>2*100/175</f>
        <v>1.1428571428571428</v>
      </c>
      <c r="D160" s="56"/>
      <c r="E160" s="75" t="s">
        <v>35</v>
      </c>
      <c r="F160" s="76">
        <f>33*100/62</f>
        <v>53.225806451612904</v>
      </c>
      <c r="G160" s="74">
        <f>13*100/62</f>
        <v>20.967741935483872</v>
      </c>
      <c r="H160" s="76">
        <f>7*100/62</f>
        <v>11.290322580645162</v>
      </c>
      <c r="I160" s="76">
        <f>5*100/62</f>
        <v>8.064516129032258</v>
      </c>
      <c r="J160" s="76">
        <f t="shared" ref="J160:K160" si="84">2*100/62</f>
        <v>3.225806451612903</v>
      </c>
      <c r="K160" s="275">
        <f t="shared" si="84"/>
        <v>3.225806451612903</v>
      </c>
      <c r="L160" s="252"/>
      <c r="M160" s="56"/>
      <c r="N160" s="277" t="s">
        <v>35</v>
      </c>
      <c r="O160" s="256"/>
      <c r="P160" s="252"/>
      <c r="Q160" s="52">
        <f>21*100/60</f>
        <v>35</v>
      </c>
      <c r="R160" s="52">
        <f>39*100/60</f>
        <v>65</v>
      </c>
      <c r="S160" s="56"/>
      <c r="T160" s="75" t="s">
        <v>35</v>
      </c>
      <c r="U160" s="76">
        <f>13*100/62</f>
        <v>20.967741935483872</v>
      </c>
      <c r="V160" s="275">
        <f>20*100/62</f>
        <v>32.258064516129032</v>
      </c>
      <c r="W160" s="252"/>
      <c r="X160" s="76">
        <f>29*100/62</f>
        <v>46.774193548387096</v>
      </c>
      <c r="Y160" s="56"/>
      <c r="Z160" s="56"/>
      <c r="AA160" s="56"/>
      <c r="AC160" s="56"/>
      <c r="AD160" s="56"/>
      <c r="AE160" s="56"/>
      <c r="AF160" s="56"/>
      <c r="AH160" s="56"/>
      <c r="AI160" s="56"/>
      <c r="AJ160" s="56"/>
      <c r="AK160" s="56"/>
      <c r="AL160" s="56"/>
      <c r="AN160" s="56"/>
      <c r="AO160" s="56"/>
      <c r="AP160" s="56"/>
      <c r="AQ160" s="56"/>
      <c r="AR160" s="56"/>
    </row>
    <row r="161" spans="2:44" ht="13.2">
      <c r="B161" s="79" t="s">
        <v>35</v>
      </c>
      <c r="C161" s="76">
        <f>59*100/175</f>
        <v>33.714285714285715</v>
      </c>
      <c r="D161" s="56"/>
      <c r="E161" s="75" t="s">
        <v>179</v>
      </c>
      <c r="F161" s="76">
        <f>2*100/2</f>
        <v>100</v>
      </c>
      <c r="G161" s="31">
        <f t="shared" ref="G161:K161" si="85">0*100/2</f>
        <v>0</v>
      </c>
      <c r="H161" s="52">
        <f t="shared" si="85"/>
        <v>0</v>
      </c>
      <c r="I161" s="51">
        <f t="shared" si="85"/>
        <v>0</v>
      </c>
      <c r="J161" s="52">
        <f t="shared" si="85"/>
        <v>0</v>
      </c>
      <c r="K161" s="251">
        <f t="shared" si="85"/>
        <v>0</v>
      </c>
      <c r="L161" s="252"/>
      <c r="M161" s="56"/>
      <c r="N161" s="277" t="s">
        <v>179</v>
      </c>
      <c r="O161" s="256"/>
      <c r="P161" s="252"/>
      <c r="Q161" s="52">
        <f>0*100/2</f>
        <v>0</v>
      </c>
      <c r="R161" s="52">
        <f>2*100/2</f>
        <v>100</v>
      </c>
      <c r="S161" s="56"/>
      <c r="T161" s="75" t="s">
        <v>179</v>
      </c>
      <c r="U161" s="51">
        <f>0*100/2</f>
        <v>0</v>
      </c>
      <c r="V161" s="267">
        <f>2*100/2</f>
        <v>100</v>
      </c>
      <c r="W161" s="252"/>
      <c r="X161" s="51">
        <f>0*100/2</f>
        <v>0</v>
      </c>
      <c r="Y161" s="56"/>
      <c r="Z161" s="56"/>
      <c r="AA161" s="56"/>
      <c r="AC161" s="56"/>
      <c r="AD161" s="56"/>
      <c r="AE161" s="56"/>
      <c r="AF161" s="56"/>
      <c r="AH161" s="56"/>
      <c r="AI161" s="56"/>
      <c r="AJ161" s="56"/>
      <c r="AK161" s="56"/>
      <c r="AL161" s="56"/>
      <c r="AN161" s="56"/>
      <c r="AO161" s="56"/>
      <c r="AP161" s="56"/>
      <c r="AQ161" s="56"/>
      <c r="AR161" s="56"/>
    </row>
    <row r="162" spans="2:44" ht="13.2">
      <c r="B162" s="79" t="s">
        <v>179</v>
      </c>
      <c r="C162" s="76">
        <f t="shared" ref="C162:C163" si="86">2*100/175</f>
        <v>1.1428571428571428</v>
      </c>
      <c r="D162" s="56"/>
      <c r="E162" s="75" t="s">
        <v>148</v>
      </c>
      <c r="F162" s="51">
        <f t="shared" ref="F162:F163" si="87">0*100/3</f>
        <v>0</v>
      </c>
      <c r="G162" s="74">
        <f>2*100/3</f>
        <v>66.666666666666671</v>
      </c>
      <c r="H162" s="52">
        <f t="shared" ref="H162:H163" si="88">0*100/3</f>
        <v>0</v>
      </c>
      <c r="I162" s="76">
        <f>1*100/3</f>
        <v>33.333333333333336</v>
      </c>
      <c r="J162" s="52">
        <f t="shared" ref="J162:K162" si="89">0*100/3</f>
        <v>0</v>
      </c>
      <c r="K162" s="251">
        <f t="shared" si="89"/>
        <v>0</v>
      </c>
      <c r="L162" s="252"/>
      <c r="M162" s="56"/>
      <c r="N162" s="277" t="s">
        <v>148</v>
      </c>
      <c r="O162" s="256"/>
      <c r="P162" s="252"/>
      <c r="Q162" s="76">
        <f t="shared" ref="Q162:Q163" si="90">1*100/3</f>
        <v>33.333333333333336</v>
      </c>
      <c r="R162" s="76">
        <f t="shared" ref="R162:R163" si="91">2*100/3</f>
        <v>66.666666666666671</v>
      </c>
      <c r="S162" s="56"/>
      <c r="T162" s="75" t="s">
        <v>148</v>
      </c>
      <c r="U162" s="51">
        <f t="shared" ref="U162:U163" si="92">0*100/3</f>
        <v>0</v>
      </c>
      <c r="V162" s="275">
        <f t="shared" ref="V162:V163" si="93">1*100/3</f>
        <v>33.333333333333336</v>
      </c>
      <c r="W162" s="252"/>
      <c r="X162" s="76">
        <f t="shared" ref="X162:X163" si="94">2*100/3</f>
        <v>66.666666666666671</v>
      </c>
      <c r="Y162" s="56"/>
      <c r="Z162" s="56"/>
      <c r="AA162" s="56"/>
      <c r="AC162" s="56"/>
      <c r="AD162" s="56"/>
      <c r="AE162" s="56"/>
      <c r="AF162" s="56"/>
      <c r="AH162" s="56"/>
      <c r="AI162" s="56"/>
      <c r="AJ162" s="56"/>
      <c r="AK162" s="56"/>
      <c r="AL162" s="56"/>
      <c r="AN162" s="56"/>
      <c r="AO162" s="56"/>
      <c r="AP162" s="56"/>
      <c r="AQ162" s="56"/>
      <c r="AR162" s="56"/>
    </row>
    <row r="163" spans="2:44" ht="13.2">
      <c r="B163" s="79" t="s">
        <v>148</v>
      </c>
      <c r="C163" s="76">
        <f t="shared" si="86"/>
        <v>1.1428571428571428</v>
      </c>
      <c r="D163" s="56"/>
      <c r="E163" s="75" t="s">
        <v>82</v>
      </c>
      <c r="F163" s="51">
        <f t="shared" si="87"/>
        <v>0</v>
      </c>
      <c r="G163" s="31">
        <f>1*100/3</f>
        <v>33.333333333333336</v>
      </c>
      <c r="H163" s="52">
        <f t="shared" si="88"/>
        <v>0</v>
      </c>
      <c r="I163" s="51">
        <f t="shared" ref="I163:J163" si="95">0*100/3</f>
        <v>0</v>
      </c>
      <c r="J163" s="52">
        <f t="shared" si="95"/>
        <v>0</v>
      </c>
      <c r="K163" s="275">
        <f>2*100/3</f>
        <v>66.666666666666671</v>
      </c>
      <c r="L163" s="252"/>
      <c r="N163" s="277" t="s">
        <v>82</v>
      </c>
      <c r="O163" s="256"/>
      <c r="P163" s="252"/>
      <c r="Q163" s="76">
        <f t="shared" si="90"/>
        <v>33.333333333333336</v>
      </c>
      <c r="R163" s="76">
        <f t="shared" si="91"/>
        <v>66.666666666666671</v>
      </c>
      <c r="T163" s="75" t="s">
        <v>82</v>
      </c>
      <c r="U163" s="51">
        <f t="shared" si="92"/>
        <v>0</v>
      </c>
      <c r="V163" s="275">
        <f t="shared" si="93"/>
        <v>33.333333333333336</v>
      </c>
      <c r="W163" s="252"/>
      <c r="X163" s="76">
        <f t="shared" si="94"/>
        <v>66.666666666666671</v>
      </c>
    </row>
    <row r="164" spans="2:44" ht="13.2">
      <c r="B164" s="79" t="s">
        <v>82</v>
      </c>
      <c r="C164" s="76">
        <f>3*100/175</f>
        <v>1.7142857142857142</v>
      </c>
      <c r="D164" s="56"/>
      <c r="E164" s="75" t="s">
        <v>32</v>
      </c>
      <c r="F164" s="51">
        <f>0*100/21</f>
        <v>0</v>
      </c>
      <c r="G164" s="74">
        <f>14*100/21</f>
        <v>66.666666666666671</v>
      </c>
      <c r="H164" s="76">
        <f t="shared" ref="H164:I164" si="96">3*100/21</f>
        <v>14.285714285714286</v>
      </c>
      <c r="I164" s="76">
        <f t="shared" si="96"/>
        <v>14.285714285714286</v>
      </c>
      <c r="J164" s="52">
        <f>0*100/21</f>
        <v>0</v>
      </c>
      <c r="K164" s="275">
        <f>1*100/21</f>
        <v>4.7619047619047619</v>
      </c>
      <c r="L164" s="252"/>
      <c r="N164" s="277" t="s">
        <v>32</v>
      </c>
      <c r="O164" s="256"/>
      <c r="P164" s="252"/>
      <c r="Q164" s="76">
        <f>6*100/21</f>
        <v>28.571428571428573</v>
      </c>
      <c r="R164" s="76">
        <f>15*100/21</f>
        <v>71.428571428571431</v>
      </c>
      <c r="T164" s="75" t="s">
        <v>32</v>
      </c>
      <c r="U164" s="76">
        <f>5*100/21</f>
        <v>23.80952380952381</v>
      </c>
      <c r="V164" s="275">
        <f>6*100/21</f>
        <v>28.571428571428573</v>
      </c>
      <c r="W164" s="252"/>
      <c r="X164" s="76">
        <f>10*100/21</f>
        <v>47.61904761904762</v>
      </c>
    </row>
    <row r="165" spans="2:44" ht="13.2">
      <c r="B165" s="79" t="s">
        <v>32</v>
      </c>
      <c r="C165" s="76">
        <f>18*100/175</f>
        <v>10.285714285714286</v>
      </c>
      <c r="D165" s="56"/>
      <c r="E165" s="75" t="s">
        <v>39</v>
      </c>
      <c r="F165" s="76">
        <f>6*100/45</f>
        <v>13.333333333333334</v>
      </c>
      <c r="G165" s="74">
        <f>30*100/45</f>
        <v>66.666666666666671</v>
      </c>
      <c r="H165" s="52">
        <f>0*100/45</f>
        <v>0</v>
      </c>
      <c r="I165" s="76">
        <f>1*100/45</f>
        <v>2.2222222222222223</v>
      </c>
      <c r="J165" s="76">
        <f>8*100/45</f>
        <v>17.777777777777779</v>
      </c>
      <c r="K165" s="251">
        <f>0*100/45</f>
        <v>0</v>
      </c>
      <c r="L165" s="252"/>
      <c r="N165" s="277" t="s">
        <v>39</v>
      </c>
      <c r="O165" s="256"/>
      <c r="P165" s="252"/>
      <c r="Q165" s="76">
        <f>30*100/45</f>
        <v>66.666666666666671</v>
      </c>
      <c r="R165" s="76">
        <f>15*100/45</f>
        <v>33.333333333333336</v>
      </c>
      <c r="T165" s="75" t="s">
        <v>39</v>
      </c>
      <c r="U165" s="76">
        <f>15*100/45</f>
        <v>33.333333333333336</v>
      </c>
      <c r="V165" s="275">
        <f>16*100/45</f>
        <v>35.555555555555557</v>
      </c>
      <c r="W165" s="252"/>
      <c r="X165" s="76">
        <f>14*100/45</f>
        <v>31.111111111111111</v>
      </c>
    </row>
    <row r="166" spans="2:44" ht="13.2">
      <c r="B166" s="79" t="s">
        <v>39</v>
      </c>
      <c r="C166" s="76">
        <f>41*100/175</f>
        <v>23.428571428571427</v>
      </c>
      <c r="D166" s="56"/>
      <c r="E166" s="75" t="s">
        <v>83</v>
      </c>
      <c r="F166" s="76">
        <f>1*100/5</f>
        <v>20</v>
      </c>
      <c r="G166" s="74">
        <f>2*100/5</f>
        <v>40</v>
      </c>
      <c r="H166" s="52">
        <f t="shared" ref="H166:I166" si="97">0*100/5</f>
        <v>0</v>
      </c>
      <c r="I166" s="51">
        <f t="shared" si="97"/>
        <v>0</v>
      </c>
      <c r="J166" s="76">
        <f>2*100/5</f>
        <v>40</v>
      </c>
      <c r="K166" s="251">
        <f>0*100/5</f>
        <v>0</v>
      </c>
      <c r="L166" s="252"/>
      <c r="N166" s="277" t="s">
        <v>83</v>
      </c>
      <c r="O166" s="256"/>
      <c r="P166" s="252"/>
      <c r="Q166" s="76">
        <f>4*100/5</f>
        <v>80</v>
      </c>
      <c r="R166" s="76">
        <f>1*100/5</f>
        <v>20</v>
      </c>
      <c r="T166" s="75" t="s">
        <v>83</v>
      </c>
      <c r="U166" s="51">
        <f>1*100/5</f>
        <v>20</v>
      </c>
      <c r="V166" s="275">
        <f>3*100/5</f>
        <v>60</v>
      </c>
      <c r="W166" s="252"/>
      <c r="X166" s="51">
        <f>1*100/5</f>
        <v>20</v>
      </c>
    </row>
    <row r="167" spans="2:44" ht="13.2">
      <c r="B167" s="79" t="s">
        <v>83</v>
      </c>
      <c r="C167" s="76">
        <f>3*100/175</f>
        <v>1.7142857142857142</v>
      </c>
      <c r="D167" s="56"/>
      <c r="E167" s="90" t="s">
        <v>89</v>
      </c>
      <c r="F167" s="91">
        <f>1*100/3</f>
        <v>33.333333333333336</v>
      </c>
      <c r="G167" s="92">
        <f>2*100/3</f>
        <v>66.666666666666671</v>
      </c>
      <c r="H167" s="93">
        <f t="shared" ref="H167:K167" si="98">0*100/3</f>
        <v>0</v>
      </c>
      <c r="I167" s="94">
        <f t="shared" si="98"/>
        <v>0</v>
      </c>
      <c r="J167" s="93">
        <f t="shared" si="98"/>
        <v>0</v>
      </c>
      <c r="K167" s="280">
        <f t="shared" si="98"/>
        <v>0</v>
      </c>
      <c r="L167" s="271"/>
      <c r="N167" s="277" t="s">
        <v>89</v>
      </c>
      <c r="O167" s="256"/>
      <c r="P167" s="252"/>
      <c r="Q167" s="76">
        <f>1*100/3</f>
        <v>33.333333333333336</v>
      </c>
      <c r="R167" s="76">
        <f>2*100/3</f>
        <v>66.666666666666671</v>
      </c>
      <c r="T167" s="75" t="s">
        <v>89</v>
      </c>
      <c r="U167" s="76">
        <f>1*100/3</f>
        <v>33.333333333333336</v>
      </c>
      <c r="V167" s="267">
        <f>0*100/3</f>
        <v>0</v>
      </c>
      <c r="W167" s="252"/>
      <c r="X167" s="76">
        <f>2*100/3</f>
        <v>66.666666666666671</v>
      </c>
    </row>
    <row r="168" spans="2:44" ht="13.2">
      <c r="B168" s="79" t="s">
        <v>89</v>
      </c>
      <c r="C168" s="76">
        <f>2*100/175</f>
        <v>1.1428571428571428</v>
      </c>
      <c r="D168" s="56"/>
      <c r="E168" s="95"/>
      <c r="F168" s="96"/>
      <c r="G168" s="97"/>
      <c r="H168" s="97"/>
      <c r="I168" s="97"/>
      <c r="J168" s="97"/>
      <c r="K168" s="281"/>
      <c r="L168" s="270"/>
    </row>
    <row r="169" spans="2:44" ht="12.6">
      <c r="B169" s="30" t="s">
        <v>200</v>
      </c>
      <c r="C169" s="76">
        <f>SUM(C157:C168)</f>
        <v>100</v>
      </c>
      <c r="D169" s="56"/>
      <c r="E169" s="56"/>
      <c r="F169" s="56"/>
    </row>
    <row r="170" spans="2:44" ht="12.6">
      <c r="B170" s="56"/>
      <c r="C170" s="56"/>
      <c r="D170" s="56"/>
      <c r="E170" s="56"/>
      <c r="F170" s="56"/>
    </row>
    <row r="171" spans="2:44" ht="12.6">
      <c r="B171" s="56"/>
      <c r="C171" s="56"/>
      <c r="D171" s="56"/>
      <c r="E171" s="56"/>
      <c r="F171" s="56"/>
    </row>
    <row r="172" spans="2:44" ht="12.6">
      <c r="B172" s="56"/>
      <c r="C172" s="56"/>
      <c r="D172" s="56"/>
      <c r="E172" s="56"/>
      <c r="F172" s="56"/>
      <c r="Q172" s="98"/>
      <c r="R172" s="98"/>
      <c r="S172" s="98"/>
      <c r="T172" s="98"/>
    </row>
    <row r="173" spans="2:44" ht="13.8">
      <c r="B173" s="56"/>
      <c r="C173" s="282" t="s">
        <v>327</v>
      </c>
      <c r="D173" s="256"/>
      <c r="E173" s="256"/>
      <c r="F173" s="252"/>
      <c r="H173" s="278" t="s">
        <v>328</v>
      </c>
      <c r="I173" s="256"/>
      <c r="J173" s="256"/>
      <c r="K173" s="252"/>
      <c r="M173" s="278" t="s">
        <v>329</v>
      </c>
      <c r="N173" s="256"/>
      <c r="O173" s="252"/>
      <c r="Q173" s="278" t="s">
        <v>330</v>
      </c>
      <c r="R173" s="256"/>
      <c r="S173" s="256"/>
      <c r="T173" s="252"/>
    </row>
    <row r="174" spans="2:44" ht="13.8">
      <c r="B174" s="99"/>
      <c r="C174" s="100" t="s">
        <v>331</v>
      </c>
      <c r="D174" s="72" t="s">
        <v>310</v>
      </c>
      <c r="E174" s="72" t="s">
        <v>311</v>
      </c>
      <c r="F174" s="72" t="s">
        <v>312</v>
      </c>
      <c r="H174" s="101" t="s">
        <v>332</v>
      </c>
      <c r="I174" s="72" t="s">
        <v>333</v>
      </c>
      <c r="J174" s="73" t="s">
        <v>334</v>
      </c>
      <c r="K174" s="73" t="s">
        <v>335</v>
      </c>
      <c r="M174" s="102" t="s">
        <v>336</v>
      </c>
      <c r="N174" s="72" t="s">
        <v>307</v>
      </c>
      <c r="O174" s="72" t="s">
        <v>337</v>
      </c>
      <c r="Q174" s="101" t="s">
        <v>338</v>
      </c>
      <c r="R174" s="73" t="s">
        <v>302</v>
      </c>
      <c r="S174" s="73" t="s">
        <v>339</v>
      </c>
      <c r="T174" s="73" t="s">
        <v>304</v>
      </c>
    </row>
    <row r="175" spans="2:44" ht="13.2">
      <c r="B175" s="103"/>
      <c r="C175" s="104" t="s">
        <v>48</v>
      </c>
      <c r="D175" s="105">
        <f>'tabelas dinâmicas'!AO7*100/'tabelas dinâmicas'!AR7</f>
        <v>4.4444444444444446</v>
      </c>
      <c r="E175" s="105">
        <f>'tabelas dinâmicas'!AP7*100/'tabelas dinâmicas'!AR7</f>
        <v>15.555555555555555</v>
      </c>
      <c r="F175" s="106">
        <f>'tabelas dinâmicas'!AQ7*100/'tabelas dinâmicas'!AR7</f>
        <v>80</v>
      </c>
      <c r="H175" s="75" t="s">
        <v>48</v>
      </c>
      <c r="I175" s="76">
        <f>'tabelas dinâmicas'!AV7*100/'tabelas dinâmicas'!AY7</f>
        <v>57.777777777777779</v>
      </c>
      <c r="J175" s="76">
        <f>'tabelas dinâmicas'!AW7*100/'tabelas dinâmicas'!AY7</f>
        <v>6.666666666666667</v>
      </c>
      <c r="K175" s="76">
        <f>'tabelas dinâmicas'!AX7*100/'tabelas dinâmicas'!AY7</f>
        <v>35.555555555555557</v>
      </c>
      <c r="M175" s="79" t="s">
        <v>21</v>
      </c>
      <c r="N175" s="81">
        <f>'tabelas dinâmicas'!B25*100/'tabelas dinâmicas'!D25</f>
        <v>10.256410256410257</v>
      </c>
      <c r="O175" s="80">
        <f>'tabelas dinâmicas'!C25*100/'tabelas dinâmicas'!D25</f>
        <v>89.743589743589737</v>
      </c>
      <c r="Q175" s="107" t="s">
        <v>18</v>
      </c>
      <c r="R175" s="108">
        <f>'tabelas dinâmicas'!H50*100/'tabelas dinâmicas'!K50</f>
        <v>16.083916083916083</v>
      </c>
      <c r="S175" s="108">
        <f>'tabelas dinâmicas'!I50*100/'tabelas dinâmicas'!K50</f>
        <v>41.25874125874126</v>
      </c>
      <c r="T175" s="108">
        <f>'tabelas dinâmicas'!J50*100/'tabelas dinâmicas'!K50</f>
        <v>42.65734265734266</v>
      </c>
    </row>
    <row r="176" spans="2:44" ht="13.8">
      <c r="B176" s="103"/>
      <c r="C176" s="109" t="s">
        <v>19</v>
      </c>
      <c r="D176" s="105">
        <f>'tabelas dinâmicas'!AO9*100/'tabelas dinâmicas'!AR9</f>
        <v>6.0810810810810807</v>
      </c>
      <c r="E176" s="105">
        <f>'tabelas dinâmicas'!AP9*100/'tabelas dinâmicas'!AR9</f>
        <v>23.648648648648649</v>
      </c>
      <c r="F176" s="105">
        <f>'tabelas dinâmicas'!AQ9*100/'tabelas dinâmicas'!AR9</f>
        <v>70.270270270270274</v>
      </c>
      <c r="H176" s="110" t="s">
        <v>19</v>
      </c>
      <c r="I176" s="76">
        <f>'tabelas dinâmicas'!AV9*100/'tabelas dinâmicas'!AY9</f>
        <v>65.540540540540547</v>
      </c>
      <c r="J176" s="76">
        <f>'tabelas dinâmicas'!AW9*100/'tabelas dinâmicas'!AY9</f>
        <v>8.1081081081081088</v>
      </c>
      <c r="K176" s="76">
        <f>'tabelas dinâmicas'!AX9*100/'tabelas dinâmicas'!AY9</f>
        <v>26.351351351351351</v>
      </c>
      <c r="M176" s="79" t="s">
        <v>74</v>
      </c>
      <c r="N176" s="111">
        <f>'tabelas dinâmicas'!B26*100/'tabelas dinâmicas'!D26</f>
        <v>12.5</v>
      </c>
      <c r="O176" s="111">
        <f>'tabelas dinâmicas'!C26*100/'tabelas dinâmicas'!D26</f>
        <v>87.5</v>
      </c>
      <c r="Q176" s="107" t="s">
        <v>28</v>
      </c>
      <c r="R176" s="108">
        <f>'tabelas dinâmicas'!H51*100/'tabelas dinâmicas'!K51</f>
        <v>38.805970149253731</v>
      </c>
      <c r="S176" s="112">
        <f>'tabelas dinâmicas'!I51*100/'tabelas dinâmicas'!K51</f>
        <v>29.850746268656717</v>
      </c>
      <c r="T176" s="112">
        <f>'tabelas dinâmicas'!J51*100/'tabelas dinâmicas'!K51</f>
        <v>31.343283582089551</v>
      </c>
    </row>
    <row r="177" spans="2:20" ht="13.8">
      <c r="B177" s="103"/>
      <c r="C177" s="109" t="s">
        <v>97</v>
      </c>
      <c r="D177" s="106">
        <f>'tabelas dinâmicas'!AO10*100/'tabelas dinâmicas'!AR10</f>
        <v>0</v>
      </c>
      <c r="E177" s="106">
        <f>'tabelas dinâmicas'!AP10*100/'tabelas dinâmicas'!AR10</f>
        <v>20</v>
      </c>
      <c r="F177" s="106">
        <f>'tabelas dinâmicas'!AQ10*100/'tabelas dinâmicas'!AR10</f>
        <v>80</v>
      </c>
      <c r="H177" s="110" t="s">
        <v>97</v>
      </c>
      <c r="I177" s="52">
        <f>'tabelas dinâmicas'!AV10*100/'tabelas dinâmicas'!AY10</f>
        <v>20</v>
      </c>
      <c r="J177" s="52">
        <f>'tabelas dinâmicas'!AW10*100/'tabelas dinâmicas'!AY10</f>
        <v>40</v>
      </c>
      <c r="K177" s="52">
        <f>'tabelas dinâmicas'!AX10*100/'tabelas dinâmicas'!AY10</f>
        <v>40</v>
      </c>
      <c r="M177" s="79" t="s">
        <v>58</v>
      </c>
      <c r="N177" s="111">
        <f>'tabelas dinâmicas'!B27*100/'tabelas dinâmicas'!D27</f>
        <v>0</v>
      </c>
      <c r="O177" s="111">
        <f>'tabelas dinâmicas'!C27*100/'tabelas dinâmicas'!D27</f>
        <v>100</v>
      </c>
      <c r="Q177" s="107" t="s">
        <v>79</v>
      </c>
      <c r="R177" s="113">
        <f>'tabelas dinâmicas'!H52*100/'tabelas dinâmicas'!K52</f>
        <v>0</v>
      </c>
      <c r="S177" s="114">
        <f>'tabelas dinâmicas'!I52*100/'tabelas dinâmicas'!K52</f>
        <v>50</v>
      </c>
      <c r="T177" s="115">
        <f>'tabelas dinâmicas'!J52*100/'tabelas dinâmicas'!K52</f>
        <v>50</v>
      </c>
    </row>
    <row r="178" spans="2:20" ht="13.8">
      <c r="B178" s="103"/>
      <c r="C178" s="109" t="s">
        <v>143</v>
      </c>
      <c r="D178" s="106">
        <f>'tabelas dinâmicas'!AO11*100/'tabelas dinâmicas'!AR11</f>
        <v>100</v>
      </c>
      <c r="E178" s="106">
        <f>'tabelas dinâmicas'!AP11*100/'tabelas dinâmicas'!AR11</f>
        <v>0</v>
      </c>
      <c r="F178" s="106">
        <f>'tabelas dinâmicas'!AQ11*100/'tabelas dinâmicas'!AR11</f>
        <v>0</v>
      </c>
      <c r="H178" s="110" t="s">
        <v>143</v>
      </c>
      <c r="I178" s="52">
        <f>'tabelas dinâmicas'!AV11*100/'tabelas dinâmicas'!AY11</f>
        <v>100</v>
      </c>
      <c r="J178" s="52">
        <f>'tabelas dinâmicas'!AW11*100/'tabelas dinâmicas'!AY11</f>
        <v>0</v>
      </c>
      <c r="K178" s="52">
        <f>'tabelas dinâmicas'!AX11*100/'tabelas dinâmicas'!AY11</f>
        <v>0</v>
      </c>
      <c r="M178" s="79" t="s">
        <v>132</v>
      </c>
      <c r="N178" s="111">
        <f>'tabelas dinâmicas'!B28*100/'tabelas dinâmicas'!D28</f>
        <v>0</v>
      </c>
      <c r="O178" s="111">
        <f>'tabelas dinâmicas'!C28*100/'tabelas dinâmicas'!D28</f>
        <v>100</v>
      </c>
    </row>
    <row r="179" spans="2:20" ht="13.8">
      <c r="B179" s="103"/>
      <c r="C179" s="109" t="s">
        <v>87</v>
      </c>
      <c r="D179" s="106">
        <f>'tabelas dinâmicas'!AO12*100/'tabelas dinâmicas'!AR12</f>
        <v>0</v>
      </c>
      <c r="E179" s="105">
        <f>'tabelas dinâmicas'!AP12*100/'tabelas dinâmicas'!AR12</f>
        <v>16.666666666666668</v>
      </c>
      <c r="F179" s="105">
        <f>'tabelas dinâmicas'!AQ12*100/'tabelas dinâmicas'!AR12</f>
        <v>83.333333333333329</v>
      </c>
      <c r="H179" s="110" t="s">
        <v>87</v>
      </c>
      <c r="I179" s="52">
        <f>'tabelas dinâmicas'!AV12*100/'tabelas dinâmicas'!AY12</f>
        <v>50</v>
      </c>
      <c r="J179" s="52">
        <f>'tabelas dinâmicas'!AW12*100/'tabelas dinâmicas'!AY12</f>
        <v>0</v>
      </c>
      <c r="K179" s="52">
        <f>'tabelas dinâmicas'!AX12*100/'tabelas dinâmicas'!AY12</f>
        <v>50</v>
      </c>
      <c r="M179" s="79" t="s">
        <v>35</v>
      </c>
      <c r="N179" s="80">
        <f>'tabelas dinâmicas'!B29*100/'tabelas dinâmicas'!D29</f>
        <v>4.838709677419355</v>
      </c>
      <c r="O179" s="80">
        <f>'tabelas dinâmicas'!C29*100/'tabelas dinâmicas'!D29</f>
        <v>95.161290322580641</v>
      </c>
    </row>
    <row r="180" spans="2:20" ht="13.8">
      <c r="B180" s="103"/>
      <c r="C180" s="109" t="s">
        <v>62</v>
      </c>
      <c r="D180" s="105">
        <f>'tabelas dinâmicas'!AO8*100/'tabelas dinâmicas'!AR8</f>
        <v>14.285714285714286</v>
      </c>
      <c r="E180" s="105">
        <f>'tabelas dinâmicas'!AP8*100/'tabelas dinâmicas'!AR8</f>
        <v>28.571428571428573</v>
      </c>
      <c r="F180" s="105">
        <f>'tabelas dinâmicas'!AQ8*100/'tabelas dinâmicas'!AR8</f>
        <v>57.142857142857146</v>
      </c>
      <c r="H180" s="110" t="s">
        <v>62</v>
      </c>
      <c r="I180" s="76">
        <f>'tabelas dinâmicas'!AV8*100/'tabelas dinâmicas'!AY8</f>
        <v>71.428571428571431</v>
      </c>
      <c r="J180" s="52">
        <f>'tabelas dinâmicas'!AW8*100/'tabelas dinâmicas'!AY8</f>
        <v>0</v>
      </c>
      <c r="K180" s="51">
        <f>'tabelas dinâmicas'!AX8*100/'tabelas dinâmicas'!AY8</f>
        <v>28.571428571428573</v>
      </c>
      <c r="M180" s="79" t="s">
        <v>179</v>
      </c>
      <c r="N180" s="111">
        <f>'tabelas dinâmicas'!B30*100/'tabelas dinâmicas'!D30</f>
        <v>0</v>
      </c>
      <c r="O180" s="111">
        <f>'tabelas dinâmicas'!C30*100/'tabelas dinâmicas'!D30</f>
        <v>100</v>
      </c>
    </row>
    <row r="181" spans="2:20" ht="13.2">
      <c r="B181" s="56"/>
      <c r="C181" s="56"/>
      <c r="D181" s="56"/>
      <c r="E181" s="56"/>
      <c r="F181" s="56"/>
      <c r="M181" s="79" t="s">
        <v>148</v>
      </c>
      <c r="N181" s="80">
        <f>'tabelas dinâmicas'!B31*100/'tabelas dinâmicas'!D31</f>
        <v>33.333333333333336</v>
      </c>
      <c r="O181" s="80">
        <f>'tabelas dinâmicas'!C31*100/'tabelas dinâmicas'!D31</f>
        <v>66.666666666666671</v>
      </c>
    </row>
    <row r="182" spans="2:20" ht="13.2">
      <c r="M182" s="79" t="s">
        <v>82</v>
      </c>
      <c r="N182" s="111">
        <f>'tabelas dinâmicas'!B32*100/'tabelas dinâmicas'!D32</f>
        <v>0</v>
      </c>
      <c r="O182" s="111">
        <f>'tabelas dinâmicas'!C32*100/'tabelas dinâmicas'!D32</f>
        <v>100</v>
      </c>
    </row>
    <row r="183" spans="2:20" ht="13.2">
      <c r="M183" s="79" t="s">
        <v>32</v>
      </c>
      <c r="N183" s="80">
        <f>'tabelas dinâmicas'!B33*100/'tabelas dinâmicas'!D33</f>
        <v>14.285714285714286</v>
      </c>
      <c r="O183" s="80">
        <f>'tabelas dinâmicas'!C33*100/'tabelas dinâmicas'!D33</f>
        <v>85.714285714285708</v>
      </c>
    </row>
    <row r="184" spans="2:20" ht="13.2">
      <c r="M184" s="79" t="s">
        <v>39</v>
      </c>
      <c r="N184" s="80">
        <f>'tabelas dinâmicas'!B34*100/'tabelas dinâmicas'!D34</f>
        <v>8.8888888888888893</v>
      </c>
      <c r="O184" s="80">
        <f>'tabelas dinâmicas'!C34*100/'tabelas dinâmicas'!D34</f>
        <v>91.111111111111114</v>
      </c>
    </row>
    <row r="185" spans="2:20" ht="13.2">
      <c r="M185" s="79" t="s">
        <v>83</v>
      </c>
      <c r="N185" s="81">
        <f>'tabelas dinâmicas'!B35*100/'tabelas dinâmicas'!D35</f>
        <v>40</v>
      </c>
      <c r="O185" s="81">
        <f>'tabelas dinâmicas'!C35*100/'tabelas dinâmicas'!D35</f>
        <v>60</v>
      </c>
    </row>
    <row r="186" spans="2:20" ht="13.2">
      <c r="M186" s="79" t="s">
        <v>89</v>
      </c>
      <c r="N186" s="80">
        <f>'tabelas dinâmicas'!B36*100/'tabelas dinâmicas'!D36</f>
        <v>33.333333333333336</v>
      </c>
      <c r="O186" s="80">
        <f>'tabelas dinâmicas'!C36*100/'tabelas dinâmicas'!D36</f>
        <v>66.666666666666671</v>
      </c>
    </row>
    <row r="189" spans="2:20" ht="12.6">
      <c r="B189" s="253" t="s">
        <v>340</v>
      </c>
      <c r="C189" s="254"/>
      <c r="D189" s="254"/>
      <c r="E189" s="254"/>
      <c r="F189" s="254"/>
      <c r="G189" s="254"/>
      <c r="H189" s="254"/>
      <c r="I189" s="254"/>
      <c r="J189" s="254"/>
      <c r="K189" s="254"/>
      <c r="L189" s="254"/>
      <c r="M189" s="254"/>
      <c r="N189" s="254"/>
      <c r="O189" s="254"/>
      <c r="P189" s="254"/>
      <c r="Q189" s="254"/>
    </row>
    <row r="190" spans="2:20" ht="15.75" customHeight="1">
      <c r="B190" s="254"/>
      <c r="C190" s="254"/>
      <c r="D190" s="254"/>
      <c r="E190" s="254"/>
      <c r="F190" s="254"/>
      <c r="G190" s="254"/>
      <c r="H190" s="254"/>
      <c r="I190" s="254"/>
      <c r="J190" s="254"/>
      <c r="K190" s="254"/>
      <c r="L190" s="254"/>
      <c r="M190" s="254"/>
      <c r="N190" s="254"/>
      <c r="O190" s="254"/>
      <c r="P190" s="254"/>
      <c r="Q190" s="254"/>
    </row>
    <row r="191" spans="2:20" ht="15.75" customHeight="1">
      <c r="B191" s="254"/>
      <c r="C191" s="254"/>
      <c r="D191" s="254"/>
      <c r="E191" s="254"/>
      <c r="F191" s="254"/>
      <c r="G191" s="254"/>
      <c r="H191" s="254"/>
      <c r="I191" s="254"/>
      <c r="J191" s="254"/>
      <c r="K191" s="254"/>
      <c r="L191" s="254"/>
      <c r="M191" s="254"/>
      <c r="N191" s="254"/>
      <c r="O191" s="254"/>
      <c r="P191" s="254"/>
      <c r="Q191" s="254"/>
    </row>
    <row r="192" spans="2:20" ht="15.75" customHeight="1">
      <c r="B192" s="254"/>
      <c r="C192" s="254"/>
      <c r="D192" s="254"/>
      <c r="E192" s="254"/>
      <c r="F192" s="254"/>
      <c r="G192" s="254"/>
      <c r="H192" s="254"/>
      <c r="I192" s="254"/>
      <c r="J192" s="254"/>
      <c r="K192" s="254"/>
      <c r="L192" s="254"/>
      <c r="M192" s="254"/>
      <c r="N192" s="254"/>
      <c r="O192" s="254"/>
      <c r="P192" s="254"/>
      <c r="Q192" s="254"/>
    </row>
    <row r="195" spans="2:14" ht="12.6">
      <c r="B195" s="273" t="s">
        <v>341</v>
      </c>
      <c r="C195" s="256"/>
      <c r="D195" s="252"/>
      <c r="F195" s="255" t="s">
        <v>342</v>
      </c>
      <c r="G195" s="256"/>
      <c r="H195" s="256"/>
      <c r="I195" s="252"/>
      <c r="K195" s="266" t="s">
        <v>343</v>
      </c>
      <c r="L195" s="256"/>
      <c r="M195" s="256"/>
      <c r="N195" s="252"/>
    </row>
    <row r="196" spans="2:14" ht="13.8">
      <c r="B196" s="70" t="s">
        <v>344</v>
      </c>
      <c r="C196" s="116" t="s">
        <v>306</v>
      </c>
      <c r="D196" s="116" t="s">
        <v>307</v>
      </c>
      <c r="F196" s="117" t="s">
        <v>345</v>
      </c>
      <c r="G196" s="118" t="s">
        <v>51</v>
      </c>
      <c r="H196" s="118" t="s">
        <v>26</v>
      </c>
      <c r="I196" s="119" t="s">
        <v>31</v>
      </c>
      <c r="K196" s="120"/>
      <c r="L196" s="121" t="s">
        <v>346</v>
      </c>
      <c r="M196" s="122" t="s">
        <v>334</v>
      </c>
      <c r="N196" s="122" t="s">
        <v>335</v>
      </c>
    </row>
    <row r="197" spans="2:14" ht="13.2">
      <c r="B197" s="116" t="s">
        <v>18</v>
      </c>
      <c r="C197" s="74">
        <f>'tabelas dinâmicas'!N50*100/'tabelas dinâmicas'!P50</f>
        <v>29.37062937062937</v>
      </c>
      <c r="D197" s="74">
        <f>'tabelas dinâmicas'!O50*100/'tabelas dinâmicas'!P50</f>
        <v>70.629370629370626</v>
      </c>
      <c r="F197" s="75" t="s">
        <v>21</v>
      </c>
      <c r="G197" s="123">
        <f>'tabelas dinâmicas'!S51*100/'tabelas dinâmicas'!V51</f>
        <v>12.5</v>
      </c>
      <c r="H197" s="123">
        <f>'tabelas dinâmicas'!T51*100/'tabelas dinâmicas'!V51</f>
        <v>0</v>
      </c>
      <c r="I197" s="123">
        <f>'tabelas dinâmicas'!U51*100/'tabelas dinâmicas'!V51</f>
        <v>87.5</v>
      </c>
      <c r="K197" s="124" t="s">
        <v>21</v>
      </c>
      <c r="L197" s="125">
        <f>'tabelas dinâmicas'!B60*100/'tabelas dinâmicas'!E60</f>
        <v>75</v>
      </c>
      <c r="M197" s="125">
        <f>'tabelas dinâmicas'!C60*100/'tabelas dinâmicas'!E60</f>
        <v>12.5</v>
      </c>
      <c r="N197" s="125">
        <f>'tabelas dinâmicas'!D60*100/'tabelas dinâmicas'!E60</f>
        <v>12.5</v>
      </c>
    </row>
    <row r="198" spans="2:14" ht="13.2">
      <c r="B198" s="116" t="s">
        <v>28</v>
      </c>
      <c r="C198" s="31">
        <f>'tabelas dinâmicas'!N51*100/'tabelas dinâmicas'!P51</f>
        <v>94.02985074626865</v>
      </c>
      <c r="D198" s="31">
        <f>'tabelas dinâmicas'!O51*100/'tabelas dinâmicas'!P51</f>
        <v>5.9701492537313436</v>
      </c>
      <c r="F198" s="75" t="s">
        <v>74</v>
      </c>
      <c r="G198" s="123">
        <f>'tabelas dinâmicas'!S52*100/'tabelas dinâmicas'!V52</f>
        <v>0</v>
      </c>
      <c r="H198" s="126">
        <f>'tabelas dinâmicas'!T52*100/'tabelas dinâmicas'!V52</f>
        <v>0</v>
      </c>
      <c r="I198" s="123">
        <f>'tabelas dinâmicas'!U52*100/'tabelas dinâmicas'!V52</f>
        <v>100</v>
      </c>
      <c r="K198" s="124" t="s">
        <v>74</v>
      </c>
      <c r="L198" s="127">
        <f>'tabelas dinâmicas'!B61*100/'tabelas dinâmicas'!E61</f>
        <v>0</v>
      </c>
      <c r="M198" s="127">
        <f>'tabelas dinâmicas'!C61*100/'tabelas dinâmicas'!E61</f>
        <v>0</v>
      </c>
      <c r="N198" s="127">
        <f>'tabelas dinâmicas'!D61*100/'tabelas dinâmicas'!E61</f>
        <v>100</v>
      </c>
    </row>
    <row r="199" spans="2:14" ht="13.2">
      <c r="B199" s="116" t="s">
        <v>79</v>
      </c>
      <c r="C199" s="30">
        <f>'tabelas dinâmicas'!N52*100/'tabelas dinâmicas'!P52</f>
        <v>50</v>
      </c>
      <c r="D199" s="30">
        <f>'tabelas dinâmicas'!O52*100/'tabelas dinâmicas'!P52</f>
        <v>50</v>
      </c>
      <c r="F199" s="75" t="s">
        <v>58</v>
      </c>
      <c r="G199" s="123">
        <f>'tabelas dinâmicas'!S53*100/'tabelas dinâmicas'!V53</f>
        <v>0</v>
      </c>
      <c r="H199" s="126">
        <f>'tabelas dinâmicas'!T53*100/'tabelas dinâmicas'!V53</f>
        <v>0</v>
      </c>
      <c r="I199" s="126">
        <f>'tabelas dinâmicas'!U53*100/'tabelas dinâmicas'!V53</f>
        <v>100</v>
      </c>
      <c r="K199" s="124" t="s">
        <v>58</v>
      </c>
      <c r="L199" s="128">
        <f>'tabelas dinâmicas'!B62*100/'tabelas dinâmicas'!E62</f>
        <v>100</v>
      </c>
      <c r="M199" s="128">
        <f>'tabelas dinâmicas'!C62*100/'tabelas dinâmicas'!E62</f>
        <v>0</v>
      </c>
      <c r="N199" s="127">
        <f>'tabelas dinâmicas'!D62*100/'tabelas dinâmicas'!E62</f>
        <v>0</v>
      </c>
    </row>
    <row r="200" spans="2:14" ht="12.6">
      <c r="F200" s="75" t="s">
        <v>132</v>
      </c>
      <c r="G200" s="52">
        <f>'tabelas dinâmicas'!S54*100/'tabelas dinâmicas'!V54</f>
        <v>0</v>
      </c>
      <c r="H200" s="129">
        <f>'tabelas dinâmicas'!T54*100/'tabelas dinâmicas'!V54</f>
        <v>22.580645161290324</v>
      </c>
      <c r="I200" s="129">
        <f>'tabelas dinâmicas'!U54*100/'tabelas dinâmicas'!V54</f>
        <v>77.41935483870968</v>
      </c>
      <c r="K200" s="124" t="s">
        <v>132</v>
      </c>
      <c r="L200" s="127">
        <f>'tabelas dinâmicas'!B63*100/'tabelas dinâmicas'!E63</f>
        <v>66.129032258064512</v>
      </c>
      <c r="M200" s="128">
        <f>'tabelas dinâmicas'!C63*100/'tabelas dinâmicas'!E63</f>
        <v>6.4516129032258061</v>
      </c>
      <c r="N200" s="128">
        <f>'tabelas dinâmicas'!D63*100/'tabelas dinâmicas'!E63</f>
        <v>27.419354838709676</v>
      </c>
    </row>
    <row r="201" spans="2:14" ht="12.6">
      <c r="F201" s="75" t="s">
        <v>35</v>
      </c>
      <c r="G201" s="52">
        <f>'tabelas dinâmicas'!S55*100/'tabelas dinâmicas'!V55</f>
        <v>0</v>
      </c>
      <c r="H201" s="130">
        <f>'tabelas dinâmicas'!T55*100/'tabelas dinâmicas'!V55</f>
        <v>0</v>
      </c>
      <c r="I201" s="130">
        <f>'tabelas dinâmicas'!U55*100/'tabelas dinâmicas'!V55</f>
        <v>100</v>
      </c>
      <c r="K201" s="124" t="s">
        <v>35</v>
      </c>
      <c r="L201" s="125">
        <f>'tabelas dinâmicas'!B64*100/'tabelas dinâmicas'!E64</f>
        <v>0</v>
      </c>
      <c r="M201" s="125">
        <f>'tabelas dinâmicas'!C64*100/'tabelas dinâmicas'!E64</f>
        <v>0</v>
      </c>
      <c r="N201" s="125">
        <f>'tabelas dinâmicas'!D64*100/'tabelas dinâmicas'!E64</f>
        <v>100</v>
      </c>
    </row>
    <row r="202" spans="2:14" ht="12.6">
      <c r="F202" s="75" t="s">
        <v>179</v>
      </c>
      <c r="G202" s="52">
        <f>'tabelas dinâmicas'!S56*100/'tabelas dinâmicas'!V56</f>
        <v>0</v>
      </c>
      <c r="H202" s="129">
        <f>'tabelas dinâmicas'!T56*100/'tabelas dinâmicas'!V56</f>
        <v>66.666666666666671</v>
      </c>
      <c r="I202" s="129">
        <f>'tabelas dinâmicas'!U56*100/'tabelas dinâmicas'!V56</f>
        <v>33.333333333333336</v>
      </c>
      <c r="K202" s="124" t="s">
        <v>179</v>
      </c>
      <c r="L202" s="128">
        <f>'tabelas dinâmicas'!B65*100/'tabelas dinâmicas'!E65</f>
        <v>66.666666666666671</v>
      </c>
      <c r="M202" s="128">
        <f>'tabelas dinâmicas'!C65*100/'tabelas dinâmicas'!E65</f>
        <v>0</v>
      </c>
      <c r="N202" s="127">
        <f>'tabelas dinâmicas'!D65*100/'tabelas dinâmicas'!E65</f>
        <v>33.333333333333336</v>
      </c>
    </row>
    <row r="203" spans="2:14" ht="12.6">
      <c r="F203" s="75" t="s">
        <v>148</v>
      </c>
      <c r="G203" s="52">
        <f>'tabelas dinâmicas'!S57*100/'tabelas dinâmicas'!V57</f>
        <v>33.333333333333336</v>
      </c>
      <c r="H203" s="82">
        <f>'tabelas dinâmicas'!T57*100/'tabelas dinâmicas'!V57</f>
        <v>33.333333333333336</v>
      </c>
      <c r="I203" s="82">
        <f>'tabelas dinâmicas'!U57*100/'tabelas dinâmicas'!V57</f>
        <v>33.333333333333336</v>
      </c>
      <c r="K203" s="124" t="s">
        <v>148</v>
      </c>
      <c r="L203" s="125">
        <f>'tabelas dinâmicas'!B66*100/'tabelas dinâmicas'!E66</f>
        <v>66.666666666666671</v>
      </c>
      <c r="M203" s="128">
        <f>'tabelas dinâmicas'!C66*100/'tabelas dinâmicas'!E66</f>
        <v>0</v>
      </c>
      <c r="N203" s="125">
        <f>'tabelas dinâmicas'!D66*100/'tabelas dinâmicas'!E66</f>
        <v>33.333333333333336</v>
      </c>
    </row>
    <row r="204" spans="2:14" ht="12.6">
      <c r="F204" s="75" t="s">
        <v>82</v>
      </c>
      <c r="G204" s="76">
        <f>'tabelas dinâmicas'!S58*100/'tabelas dinâmicas'!V58</f>
        <v>4.7619047619047619</v>
      </c>
      <c r="H204" s="76">
        <f>'tabelas dinâmicas'!T58*100/'tabelas dinâmicas'!V58</f>
        <v>23.80952380952381</v>
      </c>
      <c r="I204" s="76">
        <f>'tabelas dinâmicas'!U58*100/'tabelas dinâmicas'!V58</f>
        <v>71.428571428571431</v>
      </c>
      <c r="K204" s="124" t="s">
        <v>82</v>
      </c>
      <c r="L204" s="125">
        <f>'tabelas dinâmicas'!B67*100/'tabelas dinâmicas'!E67</f>
        <v>42.857142857142854</v>
      </c>
      <c r="M204" s="128">
        <f>'tabelas dinâmicas'!C67*100/'tabelas dinâmicas'!E67</f>
        <v>14.285714285714286</v>
      </c>
      <c r="N204" s="125">
        <f>'tabelas dinâmicas'!D67*100/'tabelas dinâmicas'!E67</f>
        <v>42.857142857142854</v>
      </c>
    </row>
    <row r="205" spans="2:14" ht="12.6">
      <c r="F205" s="75" t="s">
        <v>32</v>
      </c>
      <c r="G205" s="76">
        <f>'tabelas dinâmicas'!S59*100/'tabelas dinâmicas'!V59</f>
        <v>13.333333333333334</v>
      </c>
      <c r="H205" s="76">
        <f>'tabelas dinâmicas'!T59*100/'tabelas dinâmicas'!V59</f>
        <v>22.222222222222221</v>
      </c>
      <c r="I205" s="76">
        <f>'tabelas dinâmicas'!U59*100/'tabelas dinâmicas'!V59</f>
        <v>64.444444444444443</v>
      </c>
      <c r="K205" s="124" t="s">
        <v>32</v>
      </c>
      <c r="L205" s="125">
        <f>'tabelas dinâmicas'!B68*100/'tabelas dinâmicas'!E68</f>
        <v>62.222222222222221</v>
      </c>
      <c r="M205" s="125">
        <f>'tabelas dinâmicas'!C68*100/'tabelas dinâmicas'!E68</f>
        <v>13.333333333333334</v>
      </c>
      <c r="N205" s="125">
        <f>'tabelas dinâmicas'!D68*100/'tabelas dinâmicas'!E68</f>
        <v>24.444444444444443</v>
      </c>
    </row>
    <row r="206" spans="2:14" ht="12.6">
      <c r="F206" s="75" t="s">
        <v>39</v>
      </c>
      <c r="G206" s="76">
        <f>'tabelas dinâmicas'!S60*100/'tabelas dinâmicas'!V60</f>
        <v>0</v>
      </c>
      <c r="H206" s="76">
        <f>'tabelas dinâmicas'!T60*100/'tabelas dinâmicas'!V60</f>
        <v>60</v>
      </c>
      <c r="I206" s="76">
        <f>'tabelas dinâmicas'!U60*100/'tabelas dinâmicas'!V60</f>
        <v>40</v>
      </c>
      <c r="J206" s="131"/>
      <c r="K206" s="124" t="s">
        <v>39</v>
      </c>
      <c r="L206" s="125">
        <f>'tabelas dinâmicas'!B69*100/'tabelas dinâmicas'!E69</f>
        <v>40</v>
      </c>
      <c r="M206" s="125">
        <f>'tabelas dinâmicas'!C69*100/'tabelas dinâmicas'!E69</f>
        <v>0</v>
      </c>
      <c r="N206" s="125">
        <f>'tabelas dinâmicas'!D69*100/'tabelas dinâmicas'!E69</f>
        <v>60</v>
      </c>
    </row>
    <row r="207" spans="2:14" ht="12.6">
      <c r="F207" s="75" t="s">
        <v>83</v>
      </c>
      <c r="G207" s="52">
        <f>'tabelas dinâmicas'!S61*100/'tabelas dinâmicas'!V61</f>
        <v>0</v>
      </c>
      <c r="H207" s="52">
        <f>'tabelas dinâmicas'!T61*100/'tabelas dinâmicas'!V61</f>
        <v>0</v>
      </c>
      <c r="I207" s="52">
        <f>'tabelas dinâmicas'!U61*100/'tabelas dinâmicas'!V61</f>
        <v>100</v>
      </c>
      <c r="K207" s="124" t="s">
        <v>83</v>
      </c>
      <c r="L207" s="127">
        <f>'tabelas dinâmicas'!B70*100/'tabelas dinâmicas'!E70</f>
        <v>66.666666666666671</v>
      </c>
      <c r="M207" s="128">
        <f>'tabelas dinâmicas'!C70*100/'tabelas dinâmicas'!E70</f>
        <v>0</v>
      </c>
      <c r="N207" s="127">
        <f>'tabelas dinâmicas'!D70*100/'tabelas dinâmicas'!E70</f>
        <v>33.333333333333336</v>
      </c>
    </row>
    <row r="208" spans="2:14" ht="12.6">
      <c r="F208" s="75" t="s">
        <v>89</v>
      </c>
      <c r="G208" s="52">
        <f>'tabelas dinâmicas'!S62*100/'tabelas dinâmicas'!V62</f>
        <v>11.111111111111111</v>
      </c>
      <c r="H208" s="52">
        <f>'tabelas dinâmicas'!T62*100/'tabelas dinâmicas'!V62</f>
        <v>27.777777777777779</v>
      </c>
      <c r="I208" s="52">
        <f>'tabelas dinâmicas'!U62*100/'tabelas dinâmicas'!V62</f>
        <v>61.111111111111114</v>
      </c>
      <c r="K208" s="124" t="s">
        <v>89</v>
      </c>
      <c r="L208" s="125">
        <f>'tabelas dinâmicas'!B71*100/'tabelas dinâmicas'!E71</f>
        <v>38.888888888888886</v>
      </c>
      <c r="M208" s="128">
        <f>'tabelas dinâmicas'!C71*100/'tabelas dinâmicas'!E71</f>
        <v>5.5555555555555554</v>
      </c>
      <c r="N208" s="125">
        <f>'tabelas dinâmicas'!D71*100/'tabelas dinâmicas'!E71</f>
        <v>55.555555555555557</v>
      </c>
    </row>
  </sheetData>
  <mergeCells count="356">
    <mergeCell ref="V164:W164"/>
    <mergeCell ref="V165:W165"/>
    <mergeCell ref="V166:W166"/>
    <mergeCell ref="V167:W167"/>
    <mergeCell ref="V155:W155"/>
    <mergeCell ref="V156:W156"/>
    <mergeCell ref="V157:W157"/>
    <mergeCell ref="V158:W158"/>
    <mergeCell ref="V159:W159"/>
    <mergeCell ref="V160:W160"/>
    <mergeCell ref="V161:W161"/>
    <mergeCell ref="W139:X139"/>
    <mergeCell ref="W140:X140"/>
    <mergeCell ref="W141:X141"/>
    <mergeCell ref="Z146:AC146"/>
    <mergeCell ref="K147:N148"/>
    <mergeCell ref="N154:R154"/>
    <mergeCell ref="T154:X154"/>
    <mergeCell ref="V162:W162"/>
    <mergeCell ref="V163:W163"/>
    <mergeCell ref="K163:L163"/>
    <mergeCell ref="N163:P163"/>
    <mergeCell ref="B128:F128"/>
    <mergeCell ref="I128:M128"/>
    <mergeCell ref="P128:R128"/>
    <mergeCell ref="U128:Y128"/>
    <mergeCell ref="AA128:AC128"/>
    <mergeCell ref="W129:X129"/>
    <mergeCell ref="W137:X137"/>
    <mergeCell ref="B138:H138"/>
    <mergeCell ref="K138:N138"/>
    <mergeCell ref="Q138:S138"/>
    <mergeCell ref="W138:X138"/>
    <mergeCell ref="W130:X130"/>
    <mergeCell ref="W131:X131"/>
    <mergeCell ref="W132:X132"/>
    <mergeCell ref="W133:X133"/>
    <mergeCell ref="W134:X134"/>
    <mergeCell ref="W135:X135"/>
    <mergeCell ref="W136:X136"/>
    <mergeCell ref="B195:D195"/>
    <mergeCell ref="F195:I195"/>
    <mergeCell ref="K195:N195"/>
    <mergeCell ref="K166:L166"/>
    <mergeCell ref="K167:L167"/>
    <mergeCell ref="K168:L168"/>
    <mergeCell ref="C173:F173"/>
    <mergeCell ref="H173:K173"/>
    <mergeCell ref="M173:O173"/>
    <mergeCell ref="K164:L164"/>
    <mergeCell ref="N164:P164"/>
    <mergeCell ref="K165:L165"/>
    <mergeCell ref="N165:P165"/>
    <mergeCell ref="N166:P166"/>
    <mergeCell ref="N167:P167"/>
    <mergeCell ref="B189:Q192"/>
    <mergeCell ref="Q173:T173"/>
    <mergeCell ref="E154:L154"/>
    <mergeCell ref="B155:C155"/>
    <mergeCell ref="K156:L156"/>
    <mergeCell ref="N156:P156"/>
    <mergeCell ref="K157:L157"/>
    <mergeCell ref="N157:P157"/>
    <mergeCell ref="N158:P158"/>
    <mergeCell ref="N161:P161"/>
    <mergeCell ref="N162:P162"/>
    <mergeCell ref="K158:L158"/>
    <mergeCell ref="K159:L159"/>
    <mergeCell ref="N159:P159"/>
    <mergeCell ref="K160:L160"/>
    <mergeCell ref="N160:P160"/>
    <mergeCell ref="K161:L161"/>
    <mergeCell ref="K162:L162"/>
    <mergeCell ref="B93:C93"/>
    <mergeCell ref="B94:C94"/>
    <mergeCell ref="B95:C95"/>
    <mergeCell ref="B96:C96"/>
    <mergeCell ref="L101:M101"/>
    <mergeCell ref="L102:M102"/>
    <mergeCell ref="L103:M103"/>
    <mergeCell ref="Q103:R103"/>
    <mergeCell ref="L104:M104"/>
    <mergeCell ref="Q104:R104"/>
    <mergeCell ref="B102:C102"/>
    <mergeCell ref="B103:C103"/>
    <mergeCell ref="G103:H103"/>
    <mergeCell ref="B104:C104"/>
    <mergeCell ref="G104:H104"/>
    <mergeCell ref="Q101:R101"/>
    <mergeCell ref="B86:C86"/>
    <mergeCell ref="G86:H86"/>
    <mergeCell ref="L86:M86"/>
    <mergeCell ref="G87:H87"/>
    <mergeCell ref="L87:M87"/>
    <mergeCell ref="G88:H88"/>
    <mergeCell ref="L88:M88"/>
    <mergeCell ref="L92:O92"/>
    <mergeCell ref="B87:C87"/>
    <mergeCell ref="B88:C88"/>
    <mergeCell ref="B92:E92"/>
    <mergeCell ref="B77:C77"/>
    <mergeCell ref="L77:M77"/>
    <mergeCell ref="L78:M78"/>
    <mergeCell ref="L79:M79"/>
    <mergeCell ref="L84:M84"/>
    <mergeCell ref="L85:M85"/>
    <mergeCell ref="G77:H77"/>
    <mergeCell ref="G78:H78"/>
    <mergeCell ref="G79:H79"/>
    <mergeCell ref="G83:J83"/>
    <mergeCell ref="L83:O83"/>
    <mergeCell ref="G84:H84"/>
    <mergeCell ref="G85:H85"/>
    <mergeCell ref="B78:C78"/>
    <mergeCell ref="B79:C79"/>
    <mergeCell ref="C80:D80"/>
    <mergeCell ref="B83:E83"/>
    <mergeCell ref="B84:C84"/>
    <mergeCell ref="B85:C85"/>
    <mergeCell ref="Q65:R65"/>
    <mergeCell ref="L66:M66"/>
    <mergeCell ref="Q66:R66"/>
    <mergeCell ref="Q67:R67"/>
    <mergeCell ref="Q76:R76"/>
    <mergeCell ref="Q77:R77"/>
    <mergeCell ref="L95:M95"/>
    <mergeCell ref="L96:M96"/>
    <mergeCell ref="G92:J92"/>
    <mergeCell ref="G93:H93"/>
    <mergeCell ref="L93:M93"/>
    <mergeCell ref="G94:H94"/>
    <mergeCell ref="L94:M94"/>
    <mergeCell ref="G95:H95"/>
    <mergeCell ref="G96:H96"/>
    <mergeCell ref="G69:H69"/>
    <mergeCell ref="G70:H70"/>
    <mergeCell ref="G71:H71"/>
    <mergeCell ref="G75:J75"/>
    <mergeCell ref="L75:O75"/>
    <mergeCell ref="G76:H76"/>
    <mergeCell ref="L76:M76"/>
    <mergeCell ref="B64:C64"/>
    <mergeCell ref="B65:C65"/>
    <mergeCell ref="G65:H65"/>
    <mergeCell ref="B66:C66"/>
    <mergeCell ref="G66:H66"/>
    <mergeCell ref="B67:C67"/>
    <mergeCell ref="B68:C68"/>
    <mergeCell ref="L63:O63"/>
    <mergeCell ref="L64:M64"/>
    <mergeCell ref="L65:M65"/>
    <mergeCell ref="B69:C69"/>
    <mergeCell ref="B70:C70"/>
    <mergeCell ref="B71:C71"/>
    <mergeCell ref="B75:E75"/>
    <mergeCell ref="V95:W95"/>
    <mergeCell ref="V96:W96"/>
    <mergeCell ref="V97:W97"/>
    <mergeCell ref="V100:X100"/>
    <mergeCell ref="Q87:R87"/>
    <mergeCell ref="Q88:R88"/>
    <mergeCell ref="Q92:T92"/>
    <mergeCell ref="V92:Y92"/>
    <mergeCell ref="Q93:R93"/>
    <mergeCell ref="V93:W93"/>
    <mergeCell ref="V94:W94"/>
    <mergeCell ref="Q83:T83"/>
    <mergeCell ref="Q84:R84"/>
    <mergeCell ref="Q85:R85"/>
    <mergeCell ref="Q86:R86"/>
    <mergeCell ref="Q94:R94"/>
    <mergeCell ref="Q95:R95"/>
    <mergeCell ref="Q96:R96"/>
    <mergeCell ref="Q100:T100"/>
    <mergeCell ref="B76:C76"/>
    <mergeCell ref="AA78:AB78"/>
    <mergeCell ref="AA79:AB79"/>
    <mergeCell ref="AA80:AB80"/>
    <mergeCell ref="AC80:AD80"/>
    <mergeCell ref="Q78:R78"/>
    <mergeCell ref="V78:W78"/>
    <mergeCell ref="X78:Y78"/>
    <mergeCell ref="AC78:AD78"/>
    <mergeCell ref="Q79:R79"/>
    <mergeCell ref="X79:Y79"/>
    <mergeCell ref="AC79:AD79"/>
    <mergeCell ref="V79:W79"/>
    <mergeCell ref="V80:W80"/>
    <mergeCell ref="X80:Y80"/>
    <mergeCell ref="AA77:AB77"/>
    <mergeCell ref="AC77:AD77"/>
    <mergeCell ref="Q68:R68"/>
    <mergeCell ref="Q69:R69"/>
    <mergeCell ref="Q70:R70"/>
    <mergeCell ref="Q71:R71"/>
    <mergeCell ref="Q75:T75"/>
    <mergeCell ref="AA75:AD75"/>
    <mergeCell ref="AC76:AD76"/>
    <mergeCell ref="Q58:R58"/>
    <mergeCell ref="Q59:R59"/>
    <mergeCell ref="B58:C58"/>
    <mergeCell ref="B59:C59"/>
    <mergeCell ref="G59:H59"/>
    <mergeCell ref="L59:M59"/>
    <mergeCell ref="V75:Y75"/>
    <mergeCell ref="X76:Y76"/>
    <mergeCell ref="V77:W77"/>
    <mergeCell ref="X77:Y77"/>
    <mergeCell ref="L58:M58"/>
    <mergeCell ref="G58:H58"/>
    <mergeCell ref="B63:E63"/>
    <mergeCell ref="G63:J63"/>
    <mergeCell ref="Q63:T63"/>
    <mergeCell ref="G64:H64"/>
    <mergeCell ref="Q64:R64"/>
    <mergeCell ref="G67:H67"/>
    <mergeCell ref="G68:H68"/>
    <mergeCell ref="L67:M67"/>
    <mergeCell ref="L68:M68"/>
    <mergeCell ref="L69:M69"/>
    <mergeCell ref="L70:M70"/>
    <mergeCell ref="L71:M71"/>
    <mergeCell ref="B54:C54"/>
    <mergeCell ref="G54:H54"/>
    <mergeCell ref="L54:M54"/>
    <mergeCell ref="Q54:R54"/>
    <mergeCell ref="G55:H55"/>
    <mergeCell ref="L55:M55"/>
    <mergeCell ref="Q55:R55"/>
    <mergeCell ref="Q56:R56"/>
    <mergeCell ref="Q57:R57"/>
    <mergeCell ref="B55:C55"/>
    <mergeCell ref="B56:C56"/>
    <mergeCell ref="G56:H56"/>
    <mergeCell ref="L56:M56"/>
    <mergeCell ref="B57:C57"/>
    <mergeCell ref="L57:M57"/>
    <mergeCell ref="G57:H57"/>
    <mergeCell ref="G53:J53"/>
    <mergeCell ref="L53:O53"/>
    <mergeCell ref="Q53:T53"/>
    <mergeCell ref="N26:P26"/>
    <mergeCell ref="J34:L34"/>
    <mergeCell ref="B35:D35"/>
    <mergeCell ref="F35:H35"/>
    <mergeCell ref="J35:L35"/>
    <mergeCell ref="N35:P35"/>
    <mergeCell ref="B53:E53"/>
    <mergeCell ref="F26:H26"/>
    <mergeCell ref="J26:L26"/>
    <mergeCell ref="R26:X26"/>
    <mergeCell ref="B2:E2"/>
    <mergeCell ref="B5:D5"/>
    <mergeCell ref="B14:D14"/>
    <mergeCell ref="F14:H14"/>
    <mergeCell ref="J14:L14"/>
    <mergeCell ref="N14:P14"/>
    <mergeCell ref="B26:D26"/>
    <mergeCell ref="R121:S121"/>
    <mergeCell ref="T121:U121"/>
    <mergeCell ref="R120:S120"/>
    <mergeCell ref="T120:U120"/>
    <mergeCell ref="R119:S119"/>
    <mergeCell ref="T119:U119"/>
    <mergeCell ref="P118:Q118"/>
    <mergeCell ref="R118:S118"/>
    <mergeCell ref="T118:U118"/>
    <mergeCell ref="G109:H109"/>
    <mergeCell ref="L109:M109"/>
    <mergeCell ref="B110:C110"/>
    <mergeCell ref="G110:H110"/>
    <mergeCell ref="L110:M110"/>
    <mergeCell ref="Q110:R110"/>
    <mergeCell ref="B112:C112"/>
    <mergeCell ref="B113:C113"/>
    <mergeCell ref="W121:X121"/>
    <mergeCell ref="Y121:Z121"/>
    <mergeCell ref="AA121:AB121"/>
    <mergeCell ref="AE128:AH128"/>
    <mergeCell ref="B121:C121"/>
    <mergeCell ref="D121:E121"/>
    <mergeCell ref="F121:G121"/>
    <mergeCell ref="I121:J121"/>
    <mergeCell ref="K121:L121"/>
    <mergeCell ref="M121:N121"/>
    <mergeCell ref="P121:Q121"/>
    <mergeCell ref="R122:S122"/>
    <mergeCell ref="T122:U122"/>
    <mergeCell ref="W122:X122"/>
    <mergeCell ref="Y122:Z122"/>
    <mergeCell ref="AA122:AB122"/>
    <mergeCell ref="B122:C122"/>
    <mergeCell ref="D122:E122"/>
    <mergeCell ref="F122:G122"/>
    <mergeCell ref="I122:J122"/>
    <mergeCell ref="K122:L122"/>
    <mergeCell ref="M122:N122"/>
    <mergeCell ref="P122:Q122"/>
    <mergeCell ref="B126:D126"/>
    <mergeCell ref="W120:X120"/>
    <mergeCell ref="Y120:Z120"/>
    <mergeCell ref="AA120:AB120"/>
    <mergeCell ref="B120:C120"/>
    <mergeCell ref="D120:E120"/>
    <mergeCell ref="F120:G120"/>
    <mergeCell ref="I120:J120"/>
    <mergeCell ref="K120:L120"/>
    <mergeCell ref="M120:N120"/>
    <mergeCell ref="P120:Q120"/>
    <mergeCell ref="W119:X119"/>
    <mergeCell ref="Y119:Z119"/>
    <mergeCell ref="AA119:AB119"/>
    <mergeCell ref="B119:C119"/>
    <mergeCell ref="D119:E119"/>
    <mergeCell ref="F119:G119"/>
    <mergeCell ref="I119:J119"/>
    <mergeCell ref="K119:L119"/>
    <mergeCell ref="M119:N119"/>
    <mergeCell ref="P119:Q119"/>
    <mergeCell ref="W118:X118"/>
    <mergeCell ref="Y118:Z118"/>
    <mergeCell ref="AA118:AB118"/>
    <mergeCell ref="B117:G117"/>
    <mergeCell ref="B118:C118"/>
    <mergeCell ref="D118:E118"/>
    <mergeCell ref="F118:G118"/>
    <mergeCell ref="I118:J118"/>
    <mergeCell ref="K118:L118"/>
    <mergeCell ref="M118:N118"/>
    <mergeCell ref="I117:N117"/>
    <mergeCell ref="P117:U117"/>
    <mergeCell ref="W117:AB117"/>
    <mergeCell ref="G113:H113"/>
    <mergeCell ref="L113:M113"/>
    <mergeCell ref="Q113:R113"/>
    <mergeCell ref="B111:C111"/>
    <mergeCell ref="G111:H111"/>
    <mergeCell ref="L111:M111"/>
    <mergeCell ref="Q111:R111"/>
    <mergeCell ref="G112:H112"/>
    <mergeCell ref="L112:M112"/>
    <mergeCell ref="Q112:R112"/>
    <mergeCell ref="V108:X108"/>
    <mergeCell ref="G108:J108"/>
    <mergeCell ref="L108:O108"/>
    <mergeCell ref="B108:E108"/>
    <mergeCell ref="Q109:R109"/>
    <mergeCell ref="B109:C109"/>
    <mergeCell ref="B100:E100"/>
    <mergeCell ref="G100:J100"/>
    <mergeCell ref="L100:O100"/>
    <mergeCell ref="B101:C101"/>
    <mergeCell ref="G101:H101"/>
    <mergeCell ref="G102:H102"/>
    <mergeCell ref="Q102:R102"/>
    <mergeCell ref="Q108:T10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BO72"/>
  <sheetViews>
    <sheetView topLeftCell="A7" workbookViewId="0">
      <selection activeCell="H10" sqref="H10"/>
    </sheetView>
  </sheetViews>
  <sheetFormatPr defaultColWidth="11.1796875" defaultRowHeight="15.75" customHeight="1"/>
  <cols>
    <col min="3" max="3" width="12.453125" customWidth="1"/>
  </cols>
  <sheetData>
    <row r="1" spans="1:67" ht="15.75" customHeight="1">
      <c r="A1" s="287" t="s">
        <v>347</v>
      </c>
      <c r="B1" s="254"/>
      <c r="C1" s="254"/>
      <c r="D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AV1" s="56"/>
      <c r="AW1" s="56"/>
      <c r="AX1" s="56"/>
      <c r="AY1" s="56"/>
      <c r="AZ1" s="56"/>
      <c r="BA1" s="56"/>
      <c r="BC1" s="56"/>
      <c r="BD1" s="56"/>
      <c r="BE1" s="56"/>
      <c r="BF1" s="56"/>
      <c r="BJ1" s="56"/>
      <c r="BK1" s="56"/>
      <c r="BL1" s="56"/>
      <c r="BM1" s="56"/>
    </row>
    <row r="2" spans="1:67" ht="15.75" customHeight="1">
      <c r="A2" s="56"/>
      <c r="B2" s="56"/>
      <c r="C2" s="56"/>
      <c r="D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AV2" s="56"/>
      <c r="AW2" s="56"/>
      <c r="AX2" s="56"/>
      <c r="AY2" s="56"/>
      <c r="AZ2" s="56"/>
      <c r="BA2" s="56"/>
      <c r="BC2" s="56"/>
      <c r="BD2" s="56"/>
      <c r="BE2" s="56"/>
      <c r="BF2" s="56"/>
      <c r="BJ2" s="56"/>
      <c r="BK2" s="56"/>
      <c r="BL2" s="56"/>
      <c r="BM2" s="56"/>
    </row>
    <row r="3" spans="1:67" ht="15.75" customHeight="1">
      <c r="A3" s="234" t="s">
        <v>361</v>
      </c>
      <c r="B3" s="234" t="s">
        <v>4</v>
      </c>
      <c r="C3" s="235"/>
      <c r="D3" s="236"/>
      <c r="H3" s="234" t="s">
        <v>362</v>
      </c>
      <c r="I3" s="234" t="s">
        <v>3</v>
      </c>
      <c r="J3" s="235"/>
      <c r="K3" s="235"/>
      <c r="L3" s="235"/>
      <c r="M3" s="235"/>
      <c r="N3" s="235"/>
      <c r="O3" s="236"/>
      <c r="P3" s="56"/>
      <c r="Q3" s="56"/>
      <c r="R3" s="56"/>
      <c r="S3" s="56"/>
      <c r="T3" s="56"/>
      <c r="U3" s="56"/>
      <c r="V3" s="56"/>
      <c r="W3" s="56"/>
      <c r="X3" s="56"/>
      <c r="AV3" s="56"/>
      <c r="AW3" s="56"/>
      <c r="AX3" s="56"/>
      <c r="AY3" s="56"/>
      <c r="AZ3" s="56"/>
      <c r="BA3" s="56"/>
      <c r="BC3" s="56"/>
      <c r="BD3" s="56"/>
      <c r="BE3" s="56"/>
      <c r="BF3" s="56"/>
      <c r="BJ3" s="56"/>
      <c r="BK3" s="56"/>
      <c r="BL3" s="56"/>
      <c r="BM3" s="56"/>
    </row>
    <row r="4" spans="1:67" ht="15.75" customHeight="1">
      <c r="A4" s="234" t="s">
        <v>3</v>
      </c>
      <c r="B4" s="237" t="s">
        <v>30</v>
      </c>
      <c r="C4" s="238" t="s">
        <v>20</v>
      </c>
      <c r="D4" s="239" t="s">
        <v>356</v>
      </c>
      <c r="E4" s="30" t="s">
        <v>208</v>
      </c>
      <c r="H4" s="234" t="s">
        <v>5</v>
      </c>
      <c r="I4" s="237" t="s">
        <v>48</v>
      </c>
      <c r="J4" s="238" t="s">
        <v>62</v>
      </c>
      <c r="K4" s="238" t="s">
        <v>19</v>
      </c>
      <c r="L4" s="238" t="s">
        <v>97</v>
      </c>
      <c r="M4" s="238" t="s">
        <v>143</v>
      </c>
      <c r="N4" s="238" t="s">
        <v>87</v>
      </c>
      <c r="O4" s="239" t="s">
        <v>356</v>
      </c>
      <c r="P4" s="67" t="s">
        <v>200</v>
      </c>
      <c r="Q4" s="56"/>
      <c r="R4" s="234" t="s">
        <v>363</v>
      </c>
      <c r="S4" s="234" t="s">
        <v>6</v>
      </c>
      <c r="T4" s="235"/>
      <c r="U4" s="235"/>
      <c r="V4" s="235"/>
      <c r="W4" s="235"/>
      <c r="X4" s="236"/>
      <c r="AB4" s="56"/>
      <c r="AC4" s="56"/>
      <c r="AD4" s="56"/>
      <c r="AE4" s="56"/>
      <c r="AF4" s="56"/>
      <c r="AG4" s="56"/>
      <c r="AH4" s="56"/>
      <c r="AI4" s="99"/>
      <c r="AJ4" s="56"/>
      <c r="AK4" s="56"/>
      <c r="AM4" s="56"/>
      <c r="AN4" s="56"/>
      <c r="AO4" s="56"/>
      <c r="AP4" s="56"/>
      <c r="AQ4" s="56"/>
      <c r="AR4" s="99"/>
      <c r="AS4" s="56"/>
      <c r="AT4" s="56"/>
      <c r="AV4" s="56"/>
      <c r="AW4" s="56"/>
      <c r="AX4" s="56"/>
      <c r="AY4" s="56"/>
      <c r="AZ4" s="99"/>
      <c r="BA4" s="56"/>
      <c r="BC4" s="56"/>
      <c r="BD4" s="56"/>
      <c r="BE4" s="56"/>
      <c r="BF4" s="56"/>
      <c r="BG4" s="56"/>
      <c r="BH4" s="99"/>
      <c r="BJ4" s="56"/>
      <c r="BK4" s="56"/>
      <c r="BL4" s="56"/>
      <c r="BM4" s="56"/>
      <c r="BO4" s="99"/>
    </row>
    <row r="5" spans="1:67" ht="15.75" customHeight="1">
      <c r="A5" s="237" t="s">
        <v>48</v>
      </c>
      <c r="B5" s="240">
        <v>6</v>
      </c>
      <c r="C5" s="241">
        <v>39</v>
      </c>
      <c r="D5" s="242">
        <v>45</v>
      </c>
      <c r="E5" s="133">
        <f t="shared" ref="E5:E10" si="0">D5*100/212</f>
        <v>21.226415094339622</v>
      </c>
      <c r="H5" s="237" t="s">
        <v>21</v>
      </c>
      <c r="I5" s="240">
        <v>3</v>
      </c>
      <c r="J5" s="241">
        <v>1</v>
      </c>
      <c r="K5" s="241">
        <v>34</v>
      </c>
      <c r="L5" s="241">
        <v>1</v>
      </c>
      <c r="M5" s="241"/>
      <c r="N5" s="241"/>
      <c r="O5" s="242">
        <v>39</v>
      </c>
      <c r="P5" s="134">
        <f>O5*100/O18</f>
        <v>18.39622641509434</v>
      </c>
      <c r="Q5" s="56"/>
      <c r="R5" s="234" t="s">
        <v>3</v>
      </c>
      <c r="S5" s="237" t="s">
        <v>40</v>
      </c>
      <c r="T5" s="238" t="s">
        <v>22</v>
      </c>
      <c r="U5" s="238" t="s">
        <v>54</v>
      </c>
      <c r="V5" s="238" t="s">
        <v>49</v>
      </c>
      <c r="W5" s="238" t="s">
        <v>357</v>
      </c>
      <c r="X5" s="239" t="s">
        <v>356</v>
      </c>
      <c r="Y5" s="30" t="s">
        <v>208</v>
      </c>
      <c r="AA5" s="234" t="s">
        <v>360</v>
      </c>
      <c r="AB5" s="234" t="s">
        <v>10</v>
      </c>
      <c r="AC5" s="235"/>
      <c r="AD5" s="235"/>
      <c r="AE5" s="236"/>
      <c r="AG5" s="56"/>
      <c r="AH5" s="135" t="s">
        <v>351</v>
      </c>
      <c r="AI5" s="136" t="s">
        <v>11</v>
      </c>
      <c r="AJ5" s="137"/>
      <c r="AK5" s="137"/>
      <c r="AL5" s="138"/>
      <c r="AM5" s="56"/>
      <c r="AN5" s="234" t="s">
        <v>359</v>
      </c>
      <c r="AO5" s="234" t="s">
        <v>13</v>
      </c>
      <c r="AP5" s="235"/>
      <c r="AQ5" s="235"/>
      <c r="AR5" s="236"/>
      <c r="AT5" s="56"/>
      <c r="AU5" s="234" t="s">
        <v>358</v>
      </c>
      <c r="AV5" s="234" t="s">
        <v>15</v>
      </c>
      <c r="AW5" s="235"/>
      <c r="AX5" s="235"/>
      <c r="AY5" s="236"/>
      <c r="BA5" s="56"/>
      <c r="BC5" s="56"/>
      <c r="BD5" s="56"/>
      <c r="BE5" s="56"/>
      <c r="BF5" s="56"/>
      <c r="BG5" s="56"/>
      <c r="BH5" s="139"/>
      <c r="BJ5" s="56"/>
      <c r="BK5" s="56"/>
      <c r="BL5" s="56"/>
      <c r="BM5" s="56"/>
      <c r="BN5" s="56"/>
      <c r="BO5" s="139"/>
    </row>
    <row r="6" spans="1:67" ht="15.75" customHeight="1">
      <c r="A6" s="243" t="s">
        <v>62</v>
      </c>
      <c r="B6" s="244">
        <v>4</v>
      </c>
      <c r="C6" s="245">
        <v>3</v>
      </c>
      <c r="D6" s="246">
        <v>7</v>
      </c>
      <c r="E6" s="133">
        <f t="shared" si="0"/>
        <v>3.3018867924528301</v>
      </c>
      <c r="H6" s="243" t="s">
        <v>74</v>
      </c>
      <c r="I6" s="244">
        <v>1</v>
      </c>
      <c r="J6" s="245">
        <v>1</v>
      </c>
      <c r="K6" s="245">
        <v>5</v>
      </c>
      <c r="L6" s="245"/>
      <c r="M6" s="245"/>
      <c r="N6" s="245">
        <v>1</v>
      </c>
      <c r="O6" s="246">
        <v>8</v>
      </c>
      <c r="P6" s="134">
        <f t="shared" ref="P6:P18" si="1">O6*100/212</f>
        <v>3.7735849056603774</v>
      </c>
      <c r="Q6" s="56"/>
      <c r="R6" s="237" t="s">
        <v>48</v>
      </c>
      <c r="S6" s="240">
        <v>12</v>
      </c>
      <c r="T6" s="241">
        <v>19</v>
      </c>
      <c r="U6" s="241">
        <v>6</v>
      </c>
      <c r="V6" s="241">
        <v>4</v>
      </c>
      <c r="W6" s="241"/>
      <c r="X6" s="242">
        <v>41</v>
      </c>
      <c r="Y6" s="140">
        <f t="shared" ref="Y6:Y11" si="2">X6*100/204</f>
        <v>20.098039215686274</v>
      </c>
      <c r="AA6" s="234" t="s">
        <v>3</v>
      </c>
      <c r="AB6" s="237" t="s">
        <v>30</v>
      </c>
      <c r="AC6" s="238" t="s">
        <v>25</v>
      </c>
      <c r="AD6" s="238" t="s">
        <v>20</v>
      </c>
      <c r="AE6" s="239" t="s">
        <v>356</v>
      </c>
      <c r="AF6" s="30" t="s">
        <v>208</v>
      </c>
      <c r="AG6" s="56"/>
      <c r="AH6" s="141" t="s">
        <v>3</v>
      </c>
      <c r="AI6" s="142" t="s">
        <v>30</v>
      </c>
      <c r="AJ6" s="142" t="s">
        <v>20</v>
      </c>
      <c r="AK6" s="143" t="s">
        <v>349</v>
      </c>
      <c r="AL6" s="61" t="s">
        <v>208</v>
      </c>
      <c r="AM6" s="56"/>
      <c r="AN6" s="234" t="s">
        <v>3</v>
      </c>
      <c r="AO6" s="237" t="s">
        <v>51</v>
      </c>
      <c r="AP6" s="238" t="s">
        <v>26</v>
      </c>
      <c r="AQ6" s="238" t="s">
        <v>31</v>
      </c>
      <c r="AR6" s="239" t="s">
        <v>356</v>
      </c>
      <c r="AS6" s="30" t="s">
        <v>200</v>
      </c>
      <c r="AT6" s="45"/>
      <c r="AU6" s="234" t="s">
        <v>3</v>
      </c>
      <c r="AV6" s="237" t="s">
        <v>27</v>
      </c>
      <c r="AW6" s="238" t="s">
        <v>52</v>
      </c>
      <c r="AX6" s="238" t="s">
        <v>34</v>
      </c>
      <c r="AY6" s="239" t="s">
        <v>356</v>
      </c>
      <c r="AZ6" s="30" t="s">
        <v>208</v>
      </c>
      <c r="BA6" s="56"/>
      <c r="BC6" s="56"/>
      <c r="BD6" s="56"/>
      <c r="BE6" s="56"/>
      <c r="BF6" s="56"/>
      <c r="BG6" s="56"/>
      <c r="BH6" s="139"/>
      <c r="BJ6" s="56"/>
      <c r="BK6" s="56"/>
      <c r="BL6" s="56"/>
      <c r="BM6" s="56"/>
      <c r="BN6" s="56"/>
      <c r="BO6" s="139"/>
    </row>
    <row r="7" spans="1:67" ht="15.75" customHeight="1">
      <c r="A7" s="243" t="s">
        <v>19</v>
      </c>
      <c r="B7" s="244">
        <v>26</v>
      </c>
      <c r="C7" s="245">
        <v>122</v>
      </c>
      <c r="D7" s="246">
        <v>148</v>
      </c>
      <c r="E7" s="133">
        <f t="shared" si="0"/>
        <v>69.811320754716988</v>
      </c>
      <c r="H7" s="243" t="s">
        <v>58</v>
      </c>
      <c r="I7" s="244"/>
      <c r="J7" s="245"/>
      <c r="K7" s="245">
        <v>1</v>
      </c>
      <c r="L7" s="245"/>
      <c r="M7" s="245"/>
      <c r="N7" s="245"/>
      <c r="O7" s="246">
        <v>1</v>
      </c>
      <c r="P7" s="134">
        <f t="shared" si="1"/>
        <v>0.47169811320754718</v>
      </c>
      <c r="Q7" s="56"/>
      <c r="R7" s="243" t="s">
        <v>62</v>
      </c>
      <c r="S7" s="244"/>
      <c r="T7" s="245">
        <v>3</v>
      </c>
      <c r="U7" s="245"/>
      <c r="V7" s="245">
        <v>3</v>
      </c>
      <c r="W7" s="245"/>
      <c r="X7" s="246">
        <v>6</v>
      </c>
      <c r="Y7" s="140">
        <f t="shared" si="2"/>
        <v>2.9411764705882355</v>
      </c>
      <c r="AA7" s="237" t="s">
        <v>48</v>
      </c>
      <c r="AB7" s="240">
        <v>10</v>
      </c>
      <c r="AC7" s="241">
        <v>17</v>
      </c>
      <c r="AD7" s="241">
        <v>18</v>
      </c>
      <c r="AE7" s="242">
        <v>45</v>
      </c>
      <c r="AF7" s="134">
        <f t="shared" ref="AF7:AF12" si="3">AE7*100/212</f>
        <v>21.226415094339622</v>
      </c>
      <c r="AG7" s="56"/>
      <c r="AH7" s="144" t="s">
        <v>48</v>
      </c>
      <c r="AI7" s="145">
        <v>25</v>
      </c>
      <c r="AJ7" s="145">
        <v>20</v>
      </c>
      <c r="AK7" s="146">
        <v>45</v>
      </c>
      <c r="AL7" s="147">
        <f t="shared" ref="AL7:AL12" si="4">AK7*100/212</f>
        <v>21.226415094339622</v>
      </c>
      <c r="AM7" s="56"/>
      <c r="AN7" s="237" t="s">
        <v>48</v>
      </c>
      <c r="AO7" s="240">
        <v>2</v>
      </c>
      <c r="AP7" s="241">
        <v>7</v>
      </c>
      <c r="AQ7" s="241">
        <v>36</v>
      </c>
      <c r="AR7" s="242">
        <v>45</v>
      </c>
      <c r="AS7" s="134">
        <f t="shared" ref="AS7:AS12" si="5">AR7*100/212</f>
        <v>21.226415094339622</v>
      </c>
      <c r="AT7" s="45"/>
      <c r="AU7" s="237" t="s">
        <v>48</v>
      </c>
      <c r="AV7" s="240">
        <v>26</v>
      </c>
      <c r="AW7" s="241">
        <v>3</v>
      </c>
      <c r="AX7" s="241">
        <v>16</v>
      </c>
      <c r="AY7" s="242">
        <v>45</v>
      </c>
      <c r="AZ7" s="134">
        <f t="shared" ref="AZ7:AZ12" si="6">AY7*100/212</f>
        <v>21.226415094339622</v>
      </c>
      <c r="BA7" s="56"/>
      <c r="BC7" s="56"/>
      <c r="BD7" s="56"/>
      <c r="BE7" s="56"/>
      <c r="BF7" s="56"/>
      <c r="BG7" s="56"/>
      <c r="BH7" s="139"/>
      <c r="BJ7" s="56"/>
      <c r="BK7" s="56"/>
      <c r="BL7" s="56"/>
      <c r="BM7" s="56"/>
      <c r="BN7" s="56"/>
      <c r="BO7" s="139"/>
    </row>
    <row r="8" spans="1:67" ht="15.75" customHeight="1">
      <c r="A8" s="243" t="s">
        <v>97</v>
      </c>
      <c r="B8" s="244"/>
      <c r="C8" s="245">
        <v>5</v>
      </c>
      <c r="D8" s="246">
        <v>5</v>
      </c>
      <c r="E8" s="133">
        <f t="shared" si="0"/>
        <v>2.358490566037736</v>
      </c>
      <c r="H8" s="243" t="s">
        <v>132</v>
      </c>
      <c r="I8" s="244">
        <v>1</v>
      </c>
      <c r="J8" s="245"/>
      <c r="K8" s="245">
        <v>1</v>
      </c>
      <c r="L8" s="245"/>
      <c r="M8" s="245"/>
      <c r="N8" s="245"/>
      <c r="O8" s="246">
        <v>2</v>
      </c>
      <c r="P8" s="134">
        <f t="shared" si="1"/>
        <v>0.94339622641509435</v>
      </c>
      <c r="Q8" s="56"/>
      <c r="R8" s="243" t="s">
        <v>19</v>
      </c>
      <c r="S8" s="244">
        <v>42</v>
      </c>
      <c r="T8" s="245">
        <v>64</v>
      </c>
      <c r="U8" s="245">
        <v>8</v>
      </c>
      <c r="V8" s="245">
        <v>31</v>
      </c>
      <c r="W8" s="245"/>
      <c r="X8" s="246">
        <v>145</v>
      </c>
      <c r="Y8" s="140">
        <f t="shared" si="2"/>
        <v>71.078431372549019</v>
      </c>
      <c r="AA8" s="243" t="s">
        <v>62</v>
      </c>
      <c r="AB8" s="244">
        <v>1</v>
      </c>
      <c r="AC8" s="245">
        <v>2</v>
      </c>
      <c r="AD8" s="245">
        <v>4</v>
      </c>
      <c r="AE8" s="246">
        <v>7</v>
      </c>
      <c r="AF8" s="134">
        <f t="shared" si="3"/>
        <v>3.3018867924528301</v>
      </c>
      <c r="AG8" s="56"/>
      <c r="AH8" s="144" t="s">
        <v>62</v>
      </c>
      <c r="AI8" s="145">
        <v>3</v>
      </c>
      <c r="AJ8" s="145">
        <v>4</v>
      </c>
      <c r="AK8" s="146">
        <v>7</v>
      </c>
      <c r="AL8" s="147">
        <f t="shared" si="4"/>
        <v>3.3018867924528301</v>
      </c>
      <c r="AM8" s="56"/>
      <c r="AN8" s="243" t="s">
        <v>62</v>
      </c>
      <c r="AO8" s="244">
        <v>1</v>
      </c>
      <c r="AP8" s="245">
        <v>2</v>
      </c>
      <c r="AQ8" s="245">
        <v>4</v>
      </c>
      <c r="AR8" s="246">
        <v>7</v>
      </c>
      <c r="AS8" s="134">
        <f t="shared" si="5"/>
        <v>3.3018867924528301</v>
      </c>
      <c r="AT8" s="45"/>
      <c r="AU8" s="243" t="s">
        <v>62</v>
      </c>
      <c r="AV8" s="244">
        <v>5</v>
      </c>
      <c r="AW8" s="245"/>
      <c r="AX8" s="245">
        <v>2</v>
      </c>
      <c r="AY8" s="246">
        <v>7</v>
      </c>
      <c r="AZ8" s="134">
        <f t="shared" si="6"/>
        <v>3.3018867924528301</v>
      </c>
      <c r="BA8" s="56"/>
      <c r="BC8" s="56"/>
      <c r="BD8" s="56"/>
      <c r="BE8" s="56"/>
      <c r="BF8" s="56"/>
      <c r="BG8" s="56"/>
      <c r="BH8" s="139"/>
      <c r="BJ8" s="56"/>
      <c r="BK8" s="56"/>
      <c r="BL8" s="56"/>
      <c r="BM8" s="56"/>
      <c r="BN8" s="56"/>
      <c r="BO8" s="139"/>
    </row>
    <row r="9" spans="1:67" ht="15.75" customHeight="1">
      <c r="A9" s="243" t="s">
        <v>143</v>
      </c>
      <c r="B9" s="244"/>
      <c r="C9" s="245">
        <v>1</v>
      </c>
      <c r="D9" s="246">
        <v>1</v>
      </c>
      <c r="E9" s="133">
        <f t="shared" si="0"/>
        <v>0.47169811320754718</v>
      </c>
      <c r="H9" s="243" t="s">
        <v>35</v>
      </c>
      <c r="I9" s="244">
        <v>14</v>
      </c>
      <c r="J9" s="245">
        <v>1</v>
      </c>
      <c r="K9" s="245">
        <v>46</v>
      </c>
      <c r="L9" s="245">
        <v>1</v>
      </c>
      <c r="M9" s="245"/>
      <c r="N9" s="245"/>
      <c r="O9" s="246">
        <v>62</v>
      </c>
      <c r="P9" s="134">
        <f t="shared" si="1"/>
        <v>29.245283018867923</v>
      </c>
      <c r="Q9" s="56"/>
      <c r="R9" s="243" t="s">
        <v>97</v>
      </c>
      <c r="S9" s="244"/>
      <c r="T9" s="245">
        <v>4</v>
      </c>
      <c r="U9" s="245"/>
      <c r="V9" s="245">
        <v>1</v>
      </c>
      <c r="W9" s="245"/>
      <c r="X9" s="246">
        <v>5</v>
      </c>
      <c r="Y9" s="140">
        <f t="shared" si="2"/>
        <v>2.4509803921568629</v>
      </c>
      <c r="AA9" s="243" t="s">
        <v>19</v>
      </c>
      <c r="AB9" s="244">
        <v>34</v>
      </c>
      <c r="AC9" s="245">
        <v>57</v>
      </c>
      <c r="AD9" s="245">
        <v>57</v>
      </c>
      <c r="AE9" s="246">
        <v>148</v>
      </c>
      <c r="AF9" s="134">
        <f t="shared" si="3"/>
        <v>69.811320754716988</v>
      </c>
      <c r="AG9" s="56"/>
      <c r="AH9" s="144" t="s">
        <v>19</v>
      </c>
      <c r="AI9" s="145">
        <v>71</v>
      </c>
      <c r="AJ9" s="145">
        <v>77</v>
      </c>
      <c r="AK9" s="146">
        <v>148</v>
      </c>
      <c r="AL9" s="147">
        <f t="shared" si="4"/>
        <v>69.811320754716988</v>
      </c>
      <c r="AM9" s="56"/>
      <c r="AN9" s="243" t="s">
        <v>19</v>
      </c>
      <c r="AO9" s="244">
        <v>9</v>
      </c>
      <c r="AP9" s="245">
        <v>35</v>
      </c>
      <c r="AQ9" s="245">
        <v>104</v>
      </c>
      <c r="AR9" s="246">
        <v>148</v>
      </c>
      <c r="AS9" s="134">
        <f t="shared" si="5"/>
        <v>69.811320754716988</v>
      </c>
      <c r="AT9" s="45"/>
      <c r="AU9" s="243" t="s">
        <v>19</v>
      </c>
      <c r="AV9" s="244">
        <v>97</v>
      </c>
      <c r="AW9" s="245">
        <v>12</v>
      </c>
      <c r="AX9" s="245">
        <v>39</v>
      </c>
      <c r="AY9" s="246">
        <v>148</v>
      </c>
      <c r="AZ9" s="134">
        <f t="shared" si="6"/>
        <v>69.811320754716988</v>
      </c>
      <c r="BA9" s="56"/>
      <c r="BC9" s="56"/>
      <c r="BD9" s="56"/>
      <c r="BE9" s="56"/>
      <c r="BF9" s="56"/>
      <c r="BG9" s="56"/>
      <c r="BH9" s="139"/>
      <c r="BJ9" s="56"/>
      <c r="BK9" s="56"/>
      <c r="BL9" s="56"/>
      <c r="BM9" s="56"/>
      <c r="BN9" s="56"/>
      <c r="BO9" s="139"/>
    </row>
    <row r="10" spans="1:67" ht="15.75" customHeight="1">
      <c r="A10" s="243" t="s">
        <v>87</v>
      </c>
      <c r="B10" s="244"/>
      <c r="C10" s="245">
        <v>6</v>
      </c>
      <c r="D10" s="246">
        <v>6</v>
      </c>
      <c r="E10" s="133">
        <f t="shared" si="0"/>
        <v>2.8301886792452828</v>
      </c>
      <c r="H10" s="243" t="s">
        <v>179</v>
      </c>
      <c r="I10" s="244"/>
      <c r="J10" s="245"/>
      <c r="K10" s="245">
        <v>2</v>
      </c>
      <c r="L10" s="245"/>
      <c r="M10" s="245"/>
      <c r="N10" s="245"/>
      <c r="O10" s="246">
        <v>2</v>
      </c>
      <c r="P10" s="134">
        <f t="shared" si="1"/>
        <v>0.94339622641509435</v>
      </c>
      <c r="Q10" s="56"/>
      <c r="R10" s="243" t="s">
        <v>143</v>
      </c>
      <c r="S10" s="244">
        <v>1</v>
      </c>
      <c r="T10" s="245"/>
      <c r="U10" s="245"/>
      <c r="V10" s="245"/>
      <c r="W10" s="245"/>
      <c r="X10" s="246">
        <v>1</v>
      </c>
      <c r="Y10" s="140">
        <f t="shared" si="2"/>
        <v>0.49019607843137253</v>
      </c>
      <c r="AA10" s="243" t="s">
        <v>97</v>
      </c>
      <c r="AB10" s="244">
        <v>1</v>
      </c>
      <c r="AC10" s="245">
        <v>2</v>
      </c>
      <c r="AD10" s="245">
        <v>2</v>
      </c>
      <c r="AE10" s="246">
        <v>5</v>
      </c>
      <c r="AF10" s="134">
        <f t="shared" si="3"/>
        <v>2.358490566037736</v>
      </c>
      <c r="AG10" s="56"/>
      <c r="AH10" s="144" t="s">
        <v>97</v>
      </c>
      <c r="AI10" s="145">
        <v>4</v>
      </c>
      <c r="AJ10" s="145">
        <v>1</v>
      </c>
      <c r="AK10" s="146">
        <v>5</v>
      </c>
      <c r="AL10" s="147">
        <f t="shared" si="4"/>
        <v>2.358490566037736</v>
      </c>
      <c r="AM10" s="56"/>
      <c r="AN10" s="243" t="s">
        <v>97</v>
      </c>
      <c r="AO10" s="244"/>
      <c r="AP10" s="245">
        <v>1</v>
      </c>
      <c r="AQ10" s="245">
        <v>4</v>
      </c>
      <c r="AR10" s="246">
        <v>5</v>
      </c>
      <c r="AS10" s="134">
        <f t="shared" si="5"/>
        <v>2.358490566037736</v>
      </c>
      <c r="AT10" s="45"/>
      <c r="AU10" s="243" t="s">
        <v>97</v>
      </c>
      <c r="AV10" s="244">
        <v>1</v>
      </c>
      <c r="AW10" s="245">
        <v>2</v>
      </c>
      <c r="AX10" s="245">
        <v>2</v>
      </c>
      <c r="AY10" s="246">
        <v>5</v>
      </c>
      <c r="AZ10" s="134">
        <f t="shared" si="6"/>
        <v>2.358490566037736</v>
      </c>
      <c r="BA10" s="56"/>
      <c r="BC10" s="56"/>
      <c r="BD10" s="56"/>
      <c r="BE10" s="56"/>
      <c r="BF10" s="56"/>
      <c r="BG10" s="56"/>
      <c r="BH10" s="139"/>
      <c r="BJ10" s="56"/>
      <c r="BK10" s="56"/>
      <c r="BL10" s="56"/>
      <c r="BM10" s="56"/>
      <c r="BN10" s="56"/>
      <c r="BO10" s="139"/>
    </row>
    <row r="11" spans="1:67" ht="15.75" customHeight="1">
      <c r="A11" s="247" t="s">
        <v>356</v>
      </c>
      <c r="B11" s="248">
        <v>36</v>
      </c>
      <c r="C11" s="249">
        <v>176</v>
      </c>
      <c r="D11" s="250">
        <v>212</v>
      </c>
      <c r="E11" s="65">
        <f>SUM(E5:E10)</f>
        <v>100</v>
      </c>
      <c r="H11" s="243" t="s">
        <v>148</v>
      </c>
      <c r="I11" s="244">
        <v>2</v>
      </c>
      <c r="J11" s="245"/>
      <c r="K11" s="245">
        <v>1</v>
      </c>
      <c r="L11" s="245"/>
      <c r="M11" s="245"/>
      <c r="N11" s="245"/>
      <c r="O11" s="246">
        <v>3</v>
      </c>
      <c r="P11" s="134">
        <f t="shared" si="1"/>
        <v>1.4150943396226414</v>
      </c>
      <c r="Q11" s="56"/>
      <c r="R11" s="243" t="s">
        <v>87</v>
      </c>
      <c r="S11" s="244">
        <v>3</v>
      </c>
      <c r="T11" s="245">
        <v>2</v>
      </c>
      <c r="U11" s="245">
        <v>1</v>
      </c>
      <c r="V11" s="245"/>
      <c r="W11" s="245"/>
      <c r="X11" s="246">
        <v>6</v>
      </c>
      <c r="Y11" s="148">
        <f t="shared" si="2"/>
        <v>2.9411764705882355</v>
      </c>
      <c r="AA11" s="243" t="s">
        <v>143</v>
      </c>
      <c r="AB11" s="244"/>
      <c r="AC11" s="245"/>
      <c r="AD11" s="245">
        <v>1</v>
      </c>
      <c r="AE11" s="246">
        <v>1</v>
      </c>
      <c r="AF11" s="134">
        <f t="shared" si="3"/>
        <v>0.47169811320754718</v>
      </c>
      <c r="AG11" s="56"/>
      <c r="AH11" s="144" t="s">
        <v>143</v>
      </c>
      <c r="AI11" s="145">
        <v>1</v>
      </c>
      <c r="AJ11" s="145"/>
      <c r="AK11" s="146">
        <v>1</v>
      </c>
      <c r="AL11" s="147">
        <f t="shared" si="4"/>
        <v>0.47169811320754718</v>
      </c>
      <c r="AM11" s="56"/>
      <c r="AN11" s="243" t="s">
        <v>143</v>
      </c>
      <c r="AO11" s="244">
        <v>1</v>
      </c>
      <c r="AP11" s="245"/>
      <c r="AQ11" s="245"/>
      <c r="AR11" s="246">
        <v>1</v>
      </c>
      <c r="AS11" s="134">
        <f t="shared" si="5"/>
        <v>0.47169811320754718</v>
      </c>
      <c r="AT11" s="45"/>
      <c r="AU11" s="243" t="s">
        <v>143</v>
      </c>
      <c r="AV11" s="244">
        <v>1</v>
      </c>
      <c r="AW11" s="245"/>
      <c r="AX11" s="245"/>
      <c r="AY11" s="246">
        <v>1</v>
      </c>
      <c r="AZ11" s="134">
        <f t="shared" si="6"/>
        <v>0.47169811320754718</v>
      </c>
      <c r="BA11" s="56"/>
      <c r="BC11" s="56"/>
      <c r="BD11" s="56"/>
      <c r="BE11" s="56"/>
      <c r="BF11" s="56"/>
      <c r="BG11" s="56"/>
      <c r="BH11" s="56"/>
      <c r="BJ11" s="56"/>
      <c r="BK11" s="56"/>
      <c r="BL11" s="56"/>
      <c r="BM11" s="56"/>
      <c r="BN11" s="56"/>
      <c r="BO11" s="56"/>
    </row>
    <row r="12" spans="1:67" ht="15.75" customHeight="1">
      <c r="A12" s="56"/>
      <c r="B12" s="56"/>
      <c r="C12" s="56"/>
      <c r="D12" s="56"/>
      <c r="H12" s="243" t="s">
        <v>82</v>
      </c>
      <c r="I12" s="244">
        <v>1</v>
      </c>
      <c r="J12" s="245"/>
      <c r="K12" s="245">
        <v>2</v>
      </c>
      <c r="L12" s="245"/>
      <c r="M12" s="245"/>
      <c r="N12" s="245"/>
      <c r="O12" s="246">
        <v>3</v>
      </c>
      <c r="P12" s="134">
        <f t="shared" si="1"/>
        <v>1.4150943396226414</v>
      </c>
      <c r="Q12" s="56"/>
      <c r="R12" s="247" t="s">
        <v>356</v>
      </c>
      <c r="S12" s="248">
        <v>58</v>
      </c>
      <c r="T12" s="249">
        <v>92</v>
      </c>
      <c r="U12" s="249">
        <v>15</v>
      </c>
      <c r="V12" s="249">
        <v>39</v>
      </c>
      <c r="W12" s="249"/>
      <c r="X12" s="250">
        <v>204</v>
      </c>
      <c r="Y12" s="51">
        <f>SUM(Y6:Y11)</f>
        <v>100</v>
      </c>
      <c r="AA12" s="243" t="s">
        <v>87</v>
      </c>
      <c r="AB12" s="244">
        <v>3</v>
      </c>
      <c r="AC12" s="245">
        <v>2</v>
      </c>
      <c r="AD12" s="245">
        <v>1</v>
      </c>
      <c r="AE12" s="246">
        <v>6</v>
      </c>
      <c r="AF12" s="134">
        <f t="shared" si="3"/>
        <v>2.8301886792452828</v>
      </c>
      <c r="AG12" s="56"/>
      <c r="AH12" s="149" t="s">
        <v>87</v>
      </c>
      <c r="AI12" s="150">
        <v>2</v>
      </c>
      <c r="AJ12" s="150">
        <v>4</v>
      </c>
      <c r="AK12" s="151">
        <v>6</v>
      </c>
      <c r="AL12" s="152">
        <f t="shared" si="4"/>
        <v>2.8301886792452828</v>
      </c>
      <c r="AM12" s="56"/>
      <c r="AN12" s="243" t="s">
        <v>87</v>
      </c>
      <c r="AO12" s="244"/>
      <c r="AP12" s="245">
        <v>1</v>
      </c>
      <c r="AQ12" s="245">
        <v>5</v>
      </c>
      <c r="AR12" s="246">
        <v>6</v>
      </c>
      <c r="AS12" s="134">
        <f t="shared" si="5"/>
        <v>2.8301886792452828</v>
      </c>
      <c r="AT12" s="45"/>
      <c r="AU12" s="243" t="s">
        <v>87</v>
      </c>
      <c r="AV12" s="244">
        <v>3</v>
      </c>
      <c r="AW12" s="245"/>
      <c r="AX12" s="245">
        <v>3</v>
      </c>
      <c r="AY12" s="246">
        <v>6</v>
      </c>
      <c r="AZ12" s="134">
        <f t="shared" si="6"/>
        <v>2.8301886792452828</v>
      </c>
      <c r="BA12" s="56"/>
      <c r="BC12" s="56"/>
      <c r="BD12" s="56"/>
      <c r="BE12" s="56"/>
      <c r="BF12" s="56"/>
      <c r="BG12" s="56"/>
      <c r="BH12" s="56"/>
      <c r="BJ12" s="56"/>
      <c r="BK12" s="56"/>
      <c r="BL12" s="56"/>
      <c r="BM12" s="56"/>
      <c r="BN12" s="56"/>
      <c r="BO12" s="56"/>
    </row>
    <row r="13" spans="1:67" ht="15.75" customHeight="1">
      <c r="A13" s="45"/>
      <c r="B13" s="57"/>
      <c r="C13" s="56"/>
      <c r="D13" s="56"/>
      <c r="E13" s="56"/>
      <c r="H13" s="243" t="s">
        <v>32</v>
      </c>
      <c r="I13" s="244">
        <v>5</v>
      </c>
      <c r="J13" s="245"/>
      <c r="K13" s="245">
        <v>12</v>
      </c>
      <c r="L13" s="245">
        <v>2</v>
      </c>
      <c r="M13" s="245"/>
      <c r="N13" s="245">
        <v>2</v>
      </c>
      <c r="O13" s="246">
        <v>21</v>
      </c>
      <c r="P13" s="134">
        <f t="shared" si="1"/>
        <v>9.9056603773584904</v>
      </c>
      <c r="Q13" s="56"/>
      <c r="R13" s="56"/>
      <c r="S13" s="56"/>
      <c r="T13" s="56"/>
      <c r="U13" s="56"/>
      <c r="V13" s="56"/>
      <c r="W13" s="56"/>
      <c r="X13" s="56"/>
      <c r="Y13" s="56"/>
      <c r="AA13" s="247" t="s">
        <v>356</v>
      </c>
      <c r="AB13" s="248">
        <v>49</v>
      </c>
      <c r="AC13" s="249">
        <v>80</v>
      </c>
      <c r="AD13" s="249">
        <v>83</v>
      </c>
      <c r="AE13" s="250">
        <v>212</v>
      </c>
      <c r="AF13" s="76">
        <f>SUM(AF7:AF12)</f>
        <v>100</v>
      </c>
      <c r="AG13" s="56"/>
      <c r="AH13" s="153" t="s">
        <v>349</v>
      </c>
      <c r="AI13" s="153">
        <v>106</v>
      </c>
      <c r="AJ13" s="153">
        <v>106</v>
      </c>
      <c r="AK13" s="154">
        <v>212</v>
      </c>
      <c r="AL13" s="147">
        <f>SUM(AL7:AL12)</f>
        <v>100</v>
      </c>
      <c r="AM13" s="56"/>
      <c r="AN13" s="247" t="s">
        <v>356</v>
      </c>
      <c r="AO13" s="248">
        <v>13</v>
      </c>
      <c r="AP13" s="249">
        <v>46</v>
      </c>
      <c r="AQ13" s="249">
        <v>153</v>
      </c>
      <c r="AR13" s="250">
        <v>212</v>
      </c>
      <c r="AS13" s="76">
        <f>SUM(AS7:AS12)</f>
        <v>100</v>
      </c>
      <c r="AT13" s="45"/>
      <c r="AU13" s="247" t="s">
        <v>356</v>
      </c>
      <c r="AV13" s="248">
        <v>133</v>
      </c>
      <c r="AW13" s="249">
        <v>17</v>
      </c>
      <c r="AX13" s="249">
        <v>62</v>
      </c>
      <c r="AY13" s="250">
        <v>212</v>
      </c>
      <c r="AZ13" s="76">
        <f>SUM(AZ7:AZ12)</f>
        <v>100</v>
      </c>
      <c r="BA13" s="56"/>
      <c r="BC13" s="56"/>
      <c r="BD13" s="56"/>
      <c r="BE13" s="56"/>
      <c r="BF13" s="56"/>
      <c r="BG13" s="56"/>
      <c r="BH13" s="56"/>
      <c r="BJ13" s="56"/>
      <c r="BK13" s="56"/>
      <c r="BL13" s="56"/>
      <c r="BM13" s="56"/>
      <c r="BN13" s="56"/>
      <c r="BO13" s="56"/>
    </row>
    <row r="14" spans="1:67" ht="15.75" customHeight="1">
      <c r="A14" s="45"/>
      <c r="B14" s="155"/>
      <c r="C14" s="56"/>
      <c r="D14" s="56"/>
      <c r="E14" s="56"/>
      <c r="H14" s="243" t="s">
        <v>39</v>
      </c>
      <c r="I14" s="244">
        <v>11</v>
      </c>
      <c r="J14" s="245">
        <v>2</v>
      </c>
      <c r="K14" s="245">
        <v>28</v>
      </c>
      <c r="L14" s="245"/>
      <c r="M14" s="245">
        <v>1</v>
      </c>
      <c r="N14" s="245">
        <v>3</v>
      </c>
      <c r="O14" s="246">
        <v>45</v>
      </c>
      <c r="P14" s="134">
        <f t="shared" si="1"/>
        <v>21.226415094339622</v>
      </c>
      <c r="Q14" s="56"/>
      <c r="R14" s="56"/>
      <c r="S14" s="56"/>
      <c r="T14" s="56"/>
      <c r="U14" s="56"/>
      <c r="V14" s="56"/>
      <c r="W14" s="56"/>
      <c r="X14" s="56"/>
      <c r="Y14" s="99"/>
      <c r="AA14" s="56"/>
      <c r="AB14" s="56"/>
      <c r="AC14" s="56"/>
      <c r="AD14" s="56"/>
      <c r="AE14" s="99"/>
      <c r="AF14" s="56"/>
      <c r="AG14" s="56"/>
      <c r="AH14" s="56"/>
      <c r="AI14" s="56"/>
      <c r="AJ14" s="56"/>
      <c r="AK14" s="99"/>
      <c r="AL14" s="56"/>
      <c r="AM14" s="56"/>
      <c r="AN14" s="56"/>
      <c r="AO14" s="56"/>
      <c r="AP14" s="56"/>
      <c r="AQ14" s="99"/>
      <c r="AR14" s="56"/>
      <c r="AS14" s="56"/>
      <c r="AU14" s="56"/>
      <c r="AV14" s="56"/>
      <c r="AW14" s="56"/>
      <c r="AX14" s="56"/>
      <c r="AY14" s="56"/>
      <c r="AZ14" s="56"/>
      <c r="BA14" s="56"/>
      <c r="BC14" s="56"/>
      <c r="BD14" s="56"/>
      <c r="BE14" s="56"/>
      <c r="BF14" s="56"/>
      <c r="BG14" s="56"/>
      <c r="BH14" s="56"/>
      <c r="BJ14" s="56"/>
      <c r="BK14" s="56"/>
      <c r="BL14" s="56"/>
      <c r="BM14" s="56"/>
      <c r="BN14" s="56"/>
      <c r="BO14" s="56"/>
    </row>
    <row r="15" spans="1:67" ht="15.75" customHeight="1">
      <c r="A15" s="156"/>
      <c r="B15" s="157"/>
      <c r="C15" s="56"/>
      <c r="D15" s="56"/>
      <c r="E15" s="56"/>
      <c r="H15" s="243" t="s">
        <v>83</v>
      </c>
      <c r="I15" s="244">
        <v>2</v>
      </c>
      <c r="J15" s="245"/>
      <c r="K15" s="245">
        <v>3</v>
      </c>
      <c r="L15" s="245"/>
      <c r="M15" s="245"/>
      <c r="N15" s="245"/>
      <c r="O15" s="246">
        <v>5</v>
      </c>
      <c r="P15" s="134">
        <f t="shared" si="1"/>
        <v>2.358490566037736</v>
      </c>
      <c r="Q15" s="56"/>
      <c r="R15" s="56"/>
      <c r="S15" s="56"/>
      <c r="T15" s="56"/>
      <c r="U15" s="56"/>
      <c r="V15" s="56"/>
      <c r="W15" s="56"/>
      <c r="X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M15" s="56"/>
      <c r="AN15" s="56"/>
      <c r="AO15" s="56"/>
      <c r="AP15" s="56"/>
      <c r="AQ15" s="56"/>
      <c r="AR15" s="99"/>
      <c r="AS15" s="56"/>
      <c r="AU15" s="56"/>
      <c r="AV15" s="56"/>
      <c r="AW15" s="56"/>
      <c r="AX15" s="56"/>
      <c r="AY15" s="56"/>
      <c r="AZ15" s="56"/>
      <c r="BA15" s="56"/>
      <c r="BC15" s="56"/>
      <c r="BD15" s="56"/>
      <c r="BE15" s="56"/>
      <c r="BF15" s="56"/>
      <c r="BG15" s="56"/>
      <c r="BH15" s="56"/>
      <c r="BJ15" s="56"/>
      <c r="BK15" s="56"/>
      <c r="BL15" s="56"/>
      <c r="BM15" s="56"/>
      <c r="BN15" s="56"/>
      <c r="BO15" s="56"/>
    </row>
    <row r="16" spans="1:67" ht="15.75" customHeight="1">
      <c r="A16" s="156"/>
      <c r="B16" s="155"/>
      <c r="C16" s="56"/>
      <c r="D16" s="56"/>
      <c r="E16" s="56"/>
      <c r="H16" s="243" t="s">
        <v>89</v>
      </c>
      <c r="I16" s="244">
        <v>1</v>
      </c>
      <c r="J16" s="245"/>
      <c r="K16" s="245">
        <v>2</v>
      </c>
      <c r="L16" s="245"/>
      <c r="M16" s="245"/>
      <c r="N16" s="245"/>
      <c r="O16" s="246">
        <v>3</v>
      </c>
      <c r="P16" s="134">
        <f t="shared" si="1"/>
        <v>1.4150943396226414</v>
      </c>
      <c r="Q16" s="56"/>
      <c r="R16" s="56"/>
      <c r="S16" s="56"/>
      <c r="T16" s="56"/>
      <c r="U16" s="56"/>
      <c r="V16" s="56"/>
      <c r="W16" s="56"/>
      <c r="X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M16" s="56"/>
      <c r="AN16" s="56"/>
      <c r="AO16" s="56"/>
      <c r="AP16" s="56"/>
      <c r="AQ16" s="56"/>
      <c r="AR16" s="99"/>
      <c r="AS16" s="56"/>
      <c r="AV16" s="56"/>
      <c r="AW16" s="56"/>
      <c r="AX16" s="56"/>
      <c r="AY16" s="56"/>
      <c r="AZ16" s="56"/>
      <c r="BA16" s="56"/>
      <c r="BC16" s="56"/>
      <c r="BD16" s="56"/>
      <c r="BE16" s="56"/>
      <c r="BF16" s="56"/>
      <c r="BG16" s="56"/>
      <c r="BH16" s="56"/>
      <c r="BJ16" s="56"/>
      <c r="BK16" s="56"/>
      <c r="BL16" s="56"/>
      <c r="BM16" s="56"/>
      <c r="BN16" s="56"/>
      <c r="BO16" s="56"/>
    </row>
    <row r="17" spans="1:67" ht="15.75" customHeight="1">
      <c r="A17" s="156"/>
      <c r="B17" s="155"/>
      <c r="C17" s="56"/>
      <c r="D17" s="56"/>
      <c r="E17" s="56"/>
      <c r="H17" s="243" t="s">
        <v>357</v>
      </c>
      <c r="I17" s="244">
        <v>4</v>
      </c>
      <c r="J17" s="245">
        <v>2</v>
      </c>
      <c r="K17" s="245">
        <v>11</v>
      </c>
      <c r="L17" s="245">
        <v>1</v>
      </c>
      <c r="M17" s="245"/>
      <c r="N17" s="245"/>
      <c r="O17" s="246">
        <v>18</v>
      </c>
      <c r="P17" s="134">
        <f t="shared" si="1"/>
        <v>8.4905660377358494</v>
      </c>
      <c r="Q17" s="56"/>
      <c r="R17" s="56"/>
      <c r="S17" s="56"/>
      <c r="T17" s="56"/>
      <c r="U17" s="56"/>
      <c r="V17" s="56"/>
      <c r="W17" s="56"/>
      <c r="X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M17" s="56"/>
      <c r="AN17" s="56"/>
      <c r="AO17" s="56"/>
      <c r="AP17" s="56"/>
      <c r="AQ17" s="99"/>
      <c r="AR17" s="99"/>
      <c r="AS17" s="56"/>
      <c r="AV17" s="56"/>
      <c r="AW17" s="56"/>
      <c r="AX17" s="56"/>
      <c r="AY17" s="56"/>
      <c r="AZ17" s="56"/>
      <c r="BA17" s="56"/>
      <c r="BC17" s="56"/>
      <c r="BD17" s="56"/>
      <c r="BE17" s="56"/>
      <c r="BF17" s="56"/>
      <c r="BG17" s="56"/>
      <c r="BH17" s="56"/>
      <c r="BJ17" s="56"/>
      <c r="BK17" s="56"/>
      <c r="BL17" s="56"/>
      <c r="BM17" s="56"/>
      <c r="BN17" s="56"/>
      <c r="BO17" s="56"/>
    </row>
    <row r="18" spans="1:67" ht="15.75" customHeight="1">
      <c r="A18" s="156"/>
      <c r="B18" s="155"/>
      <c r="C18" s="56"/>
      <c r="D18" s="56"/>
      <c r="E18" s="56"/>
      <c r="H18" s="247" t="s">
        <v>356</v>
      </c>
      <c r="I18" s="248">
        <v>45</v>
      </c>
      <c r="J18" s="249">
        <v>7</v>
      </c>
      <c r="K18" s="249">
        <v>148</v>
      </c>
      <c r="L18" s="249">
        <v>5</v>
      </c>
      <c r="M18" s="249">
        <v>1</v>
      </c>
      <c r="N18" s="249">
        <v>6</v>
      </c>
      <c r="O18" s="250">
        <v>212</v>
      </c>
      <c r="P18" s="51">
        <f t="shared" si="1"/>
        <v>100</v>
      </c>
      <c r="Q18" s="56"/>
      <c r="R18" s="56"/>
      <c r="S18" s="56"/>
      <c r="T18" s="56"/>
      <c r="U18" s="56"/>
      <c r="V18" s="56"/>
      <c r="W18" s="56"/>
      <c r="X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M18" s="56"/>
      <c r="AN18" s="56"/>
      <c r="AO18" s="56"/>
      <c r="AP18" s="56"/>
      <c r="AQ18" s="99"/>
      <c r="AR18" s="99"/>
      <c r="AS18" s="56"/>
      <c r="AV18" s="56"/>
      <c r="AW18" s="56"/>
      <c r="AX18" s="56"/>
      <c r="AY18" s="56"/>
      <c r="AZ18" s="56"/>
      <c r="BA18" s="56"/>
      <c r="BC18" s="56"/>
      <c r="BD18" s="56"/>
      <c r="BE18" s="56"/>
      <c r="BF18" s="56"/>
      <c r="BG18" s="56"/>
      <c r="BH18" s="56"/>
      <c r="BJ18" s="56"/>
      <c r="BK18" s="56"/>
      <c r="BL18" s="56"/>
      <c r="BM18" s="56"/>
      <c r="BN18" s="56"/>
      <c r="BO18" s="56"/>
    </row>
    <row r="19" spans="1:67" ht="15.75" customHeight="1">
      <c r="A19" s="156"/>
      <c r="B19" s="155"/>
      <c r="C19" s="56"/>
      <c r="D19" s="56"/>
      <c r="E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M19" s="56"/>
      <c r="AN19" s="56"/>
      <c r="AO19" s="56"/>
      <c r="AP19" s="56"/>
      <c r="AQ19" s="56"/>
      <c r="AR19" s="99"/>
      <c r="AS19" s="56"/>
      <c r="AV19" s="56"/>
      <c r="AW19" s="56"/>
      <c r="AX19" s="56"/>
      <c r="AY19" s="56"/>
      <c r="AZ19" s="56"/>
      <c r="BA19" s="56"/>
      <c r="BC19" s="56"/>
      <c r="BD19" s="56"/>
      <c r="BE19" s="56"/>
      <c r="BF19" s="56"/>
      <c r="BG19" s="56"/>
      <c r="BH19" s="56"/>
      <c r="BJ19" s="56"/>
      <c r="BK19" s="56"/>
      <c r="BL19" s="56"/>
      <c r="BM19" s="56"/>
      <c r="BN19" s="56"/>
      <c r="BO19" s="56"/>
    </row>
    <row r="20" spans="1:67" ht="15.75" customHeight="1">
      <c r="A20" s="156"/>
      <c r="B20" s="155"/>
      <c r="C20" s="56"/>
      <c r="D20" s="56"/>
      <c r="E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M20" s="56"/>
      <c r="AN20" s="56"/>
      <c r="AO20" s="56"/>
      <c r="AP20" s="56"/>
      <c r="AQ20" s="56"/>
      <c r="AR20" s="99"/>
      <c r="AS20" s="56"/>
      <c r="AV20" s="56"/>
      <c r="AW20" s="56"/>
      <c r="AX20" s="56"/>
      <c r="AY20" s="56"/>
      <c r="AZ20" s="56"/>
      <c r="BA20" s="56"/>
      <c r="BC20" s="56"/>
      <c r="BD20" s="56"/>
      <c r="BE20" s="56"/>
      <c r="BF20" s="56"/>
      <c r="BG20" s="56"/>
      <c r="BH20" s="56"/>
      <c r="BJ20" s="56"/>
      <c r="BK20" s="56"/>
      <c r="BL20" s="56"/>
      <c r="BM20" s="56"/>
      <c r="BN20" s="56"/>
      <c r="BO20" s="56"/>
    </row>
    <row r="21" spans="1:67" ht="15.75" customHeight="1">
      <c r="A21" s="156"/>
      <c r="B21" s="155"/>
      <c r="C21" s="56"/>
      <c r="D21" s="56"/>
      <c r="E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M21" s="56"/>
      <c r="AN21" s="56"/>
      <c r="AO21" s="56"/>
      <c r="AP21" s="56"/>
      <c r="AQ21" s="56"/>
      <c r="AR21" s="99"/>
      <c r="AS21" s="56"/>
      <c r="AV21" s="56"/>
      <c r="AW21" s="56"/>
      <c r="AX21" s="56"/>
      <c r="AY21" s="56"/>
      <c r="AZ21" s="56"/>
      <c r="BA21" s="56"/>
      <c r="BC21" s="56"/>
      <c r="BD21" s="56"/>
      <c r="BE21" s="56"/>
      <c r="BF21" s="56"/>
      <c r="BG21" s="56"/>
      <c r="BH21" s="56"/>
      <c r="BJ21" s="56"/>
      <c r="BK21" s="56"/>
      <c r="BL21" s="56"/>
      <c r="BM21" s="56"/>
      <c r="BN21" s="56"/>
      <c r="BO21" s="56"/>
    </row>
    <row r="22" spans="1:67" ht="15.75" customHeight="1">
      <c r="A22" s="158" t="s">
        <v>348</v>
      </c>
      <c r="B22" s="159" t="s">
        <v>4</v>
      </c>
      <c r="C22" s="160"/>
      <c r="D22" s="160"/>
      <c r="E22" s="138"/>
    </row>
    <row r="23" spans="1:67" ht="15.75" customHeight="1">
      <c r="A23" s="161" t="s">
        <v>5</v>
      </c>
      <c r="B23" s="142" t="s">
        <v>30</v>
      </c>
      <c r="C23" s="142" t="s">
        <v>20</v>
      </c>
      <c r="D23" s="143" t="s">
        <v>349</v>
      </c>
      <c r="E23" s="61" t="s">
        <v>208</v>
      </c>
      <c r="G23" s="288" t="s">
        <v>352</v>
      </c>
      <c r="H23" s="254"/>
      <c r="I23" s="254"/>
      <c r="J23" s="254"/>
      <c r="K23" s="254"/>
      <c r="L23" s="254"/>
      <c r="M23" s="254"/>
      <c r="N23" s="254"/>
      <c r="O23" s="254"/>
      <c r="P23" s="138"/>
      <c r="Q23" s="162"/>
      <c r="R23" s="163"/>
      <c r="S23" s="288" t="s">
        <v>353</v>
      </c>
      <c r="T23" s="254"/>
      <c r="U23" s="254"/>
      <c r="V23" s="254"/>
      <c r="W23" s="254"/>
      <c r="X23" s="138"/>
    </row>
    <row r="24" spans="1:67" ht="15.75" customHeight="1">
      <c r="A24" s="164"/>
      <c r="B24" s="165">
        <v>17</v>
      </c>
      <c r="C24" s="145">
        <v>1</v>
      </c>
      <c r="D24" s="146">
        <v>18</v>
      </c>
      <c r="E24" s="166">
        <f t="shared" ref="E24:E37" si="7">D24*100/212</f>
        <v>8.4905660377358494</v>
      </c>
      <c r="G24" s="167" t="s">
        <v>5</v>
      </c>
      <c r="H24" s="168"/>
      <c r="I24" s="169" t="s">
        <v>42</v>
      </c>
      <c r="J24" s="170" t="s">
        <v>33</v>
      </c>
      <c r="K24" s="170" t="s">
        <v>36</v>
      </c>
      <c r="L24" s="170" t="s">
        <v>23</v>
      </c>
      <c r="M24" s="170" t="s">
        <v>63</v>
      </c>
      <c r="N24" s="170" t="s">
        <v>67</v>
      </c>
      <c r="O24" s="171" t="s">
        <v>349</v>
      </c>
      <c r="P24" s="61" t="s">
        <v>208</v>
      </c>
      <c r="Q24" s="162"/>
      <c r="R24" s="163"/>
      <c r="S24" s="167" t="s">
        <v>5</v>
      </c>
      <c r="T24" s="172"/>
      <c r="U24" s="142" t="s">
        <v>30</v>
      </c>
      <c r="V24" s="142" t="s">
        <v>20</v>
      </c>
      <c r="W24" s="143" t="s">
        <v>349</v>
      </c>
      <c r="X24" s="173" t="s">
        <v>208</v>
      </c>
    </row>
    <row r="25" spans="1:67" ht="15.75" customHeight="1">
      <c r="A25" s="144" t="s">
        <v>21</v>
      </c>
      <c r="B25" s="165">
        <v>4</v>
      </c>
      <c r="C25" s="145">
        <v>35</v>
      </c>
      <c r="D25" s="146">
        <v>39</v>
      </c>
      <c r="E25" s="166">
        <f t="shared" si="7"/>
        <v>18.39622641509434</v>
      </c>
      <c r="G25" s="164"/>
      <c r="H25" s="145">
        <v>0</v>
      </c>
      <c r="I25" s="145">
        <v>2</v>
      </c>
      <c r="J25" s="145">
        <v>6</v>
      </c>
      <c r="K25" s="145">
        <v>2</v>
      </c>
      <c r="L25" s="145">
        <v>2</v>
      </c>
      <c r="M25" s="145">
        <v>1</v>
      </c>
      <c r="N25" s="145"/>
      <c r="O25" s="146">
        <v>13</v>
      </c>
      <c r="P25" s="166">
        <f t="shared" ref="P25:P38" si="8">O25*100/207</f>
        <v>6.2801932367149762</v>
      </c>
      <c r="Q25" s="162"/>
      <c r="R25" s="162"/>
      <c r="S25" s="164"/>
      <c r="T25" s="145">
        <v>0</v>
      </c>
      <c r="U25" s="145">
        <v>10</v>
      </c>
      <c r="V25" s="145">
        <v>5</v>
      </c>
      <c r="W25" s="146">
        <v>15</v>
      </c>
      <c r="X25" s="174">
        <f t="shared" ref="X25:X38" si="9">W25*100/206</f>
        <v>7.2815533980582527</v>
      </c>
    </row>
    <row r="26" spans="1:67" ht="15.75" customHeight="1">
      <c r="A26" s="144" t="s">
        <v>74</v>
      </c>
      <c r="B26" s="145">
        <v>1</v>
      </c>
      <c r="C26" s="145">
        <v>7</v>
      </c>
      <c r="D26" s="146">
        <v>8</v>
      </c>
      <c r="E26" s="166">
        <f t="shared" si="7"/>
        <v>3.7735849056603774</v>
      </c>
      <c r="G26" s="144" t="s">
        <v>21</v>
      </c>
      <c r="H26" s="175"/>
      <c r="I26" s="145">
        <v>6</v>
      </c>
      <c r="J26" s="145">
        <v>26</v>
      </c>
      <c r="K26" s="145">
        <v>1</v>
      </c>
      <c r="L26" s="145">
        <v>5</v>
      </c>
      <c r="M26" s="145">
        <v>1</v>
      </c>
      <c r="N26" s="145"/>
      <c r="O26" s="146">
        <v>39</v>
      </c>
      <c r="P26" s="166">
        <f t="shared" si="8"/>
        <v>18.840579710144926</v>
      </c>
      <c r="Q26" s="162"/>
      <c r="R26" s="162"/>
      <c r="S26" s="144" t="s">
        <v>21</v>
      </c>
      <c r="T26" s="175"/>
      <c r="U26" s="145">
        <v>17</v>
      </c>
      <c r="V26" s="145">
        <v>22</v>
      </c>
      <c r="W26" s="146">
        <v>39</v>
      </c>
      <c r="X26" s="174">
        <f t="shared" si="9"/>
        <v>18.932038834951456</v>
      </c>
    </row>
    <row r="27" spans="1:67" ht="15.75" customHeight="1">
      <c r="A27" s="144" t="s">
        <v>58</v>
      </c>
      <c r="B27" s="145"/>
      <c r="C27" s="145">
        <v>1</v>
      </c>
      <c r="D27" s="146">
        <v>1</v>
      </c>
      <c r="E27" s="166">
        <f t="shared" si="7"/>
        <v>0.47169811320754718</v>
      </c>
      <c r="G27" s="144" t="s">
        <v>74</v>
      </c>
      <c r="H27" s="175"/>
      <c r="I27" s="145">
        <v>2</v>
      </c>
      <c r="J27" s="145">
        <v>5</v>
      </c>
      <c r="K27" s="145"/>
      <c r="L27" s="145">
        <v>1</v>
      </c>
      <c r="M27" s="145"/>
      <c r="N27" s="145"/>
      <c r="O27" s="146">
        <v>8</v>
      </c>
      <c r="P27" s="166">
        <f t="shared" si="8"/>
        <v>3.8647342995169081</v>
      </c>
      <c r="Q27" s="162"/>
      <c r="R27" s="162"/>
      <c r="S27" s="144" t="s">
        <v>74</v>
      </c>
      <c r="T27" s="175">
        <v>0</v>
      </c>
      <c r="U27" s="145">
        <v>6</v>
      </c>
      <c r="V27" s="145">
        <v>1</v>
      </c>
      <c r="W27" s="146">
        <v>7</v>
      </c>
      <c r="X27" s="174">
        <f t="shared" si="9"/>
        <v>3.3980582524271843</v>
      </c>
    </row>
    <row r="28" spans="1:67" ht="15.75" customHeight="1">
      <c r="A28" s="144" t="s">
        <v>132</v>
      </c>
      <c r="B28" s="145"/>
      <c r="C28" s="145">
        <v>2</v>
      </c>
      <c r="D28" s="146">
        <v>2</v>
      </c>
      <c r="E28" s="166">
        <f t="shared" si="7"/>
        <v>0.94339622641509435</v>
      </c>
      <c r="G28" s="144" t="s">
        <v>58</v>
      </c>
      <c r="H28" s="175"/>
      <c r="I28" s="145"/>
      <c r="J28" s="145">
        <v>1</v>
      </c>
      <c r="K28" s="145"/>
      <c r="L28" s="145"/>
      <c r="M28" s="145"/>
      <c r="N28" s="145"/>
      <c r="O28" s="146">
        <v>1</v>
      </c>
      <c r="P28" s="166">
        <f t="shared" si="8"/>
        <v>0.48309178743961351</v>
      </c>
      <c r="Q28" s="162"/>
      <c r="R28" s="162"/>
      <c r="S28" s="144" t="s">
        <v>58</v>
      </c>
      <c r="T28" s="175"/>
      <c r="U28" s="145">
        <v>1</v>
      </c>
      <c r="V28" s="145"/>
      <c r="W28" s="146">
        <v>1</v>
      </c>
      <c r="X28" s="174">
        <f t="shared" si="9"/>
        <v>0.4854368932038835</v>
      </c>
      <c r="AB28" s="234" t="s">
        <v>360</v>
      </c>
      <c r="AC28" s="234" t="s">
        <v>10</v>
      </c>
      <c r="AD28" s="235"/>
      <c r="AE28" s="235"/>
      <c r="AF28" s="236"/>
      <c r="AK28" s="234" t="s">
        <v>355</v>
      </c>
      <c r="AL28" s="234" t="s">
        <v>11</v>
      </c>
      <c r="AM28" s="235"/>
      <c r="AN28" s="236"/>
      <c r="AS28" s="234" t="s">
        <v>359</v>
      </c>
      <c r="AT28" s="234" t="s">
        <v>13</v>
      </c>
      <c r="AU28" s="235"/>
      <c r="AV28" s="235"/>
      <c r="AW28" s="236"/>
      <c r="BA28" s="234" t="s">
        <v>358</v>
      </c>
      <c r="BB28" s="234" t="s">
        <v>15</v>
      </c>
      <c r="BC28" s="235"/>
      <c r="BD28" s="235"/>
      <c r="BE28" s="236"/>
    </row>
    <row r="29" spans="1:67" ht="15.75" customHeight="1">
      <c r="A29" s="144" t="s">
        <v>35</v>
      </c>
      <c r="B29" s="145">
        <v>3</v>
      </c>
      <c r="C29" s="145">
        <v>59</v>
      </c>
      <c r="D29" s="146">
        <v>62</v>
      </c>
      <c r="E29" s="166">
        <f t="shared" si="7"/>
        <v>29.245283018867923</v>
      </c>
      <c r="G29" s="144" t="s">
        <v>132</v>
      </c>
      <c r="H29" s="175"/>
      <c r="I29" s="145"/>
      <c r="J29" s="145">
        <v>1</v>
      </c>
      <c r="K29" s="145"/>
      <c r="L29" s="145">
        <v>1</v>
      </c>
      <c r="M29" s="145"/>
      <c r="N29" s="145"/>
      <c r="O29" s="146">
        <v>2</v>
      </c>
      <c r="P29" s="166">
        <f t="shared" si="8"/>
        <v>0.96618357487922701</v>
      </c>
      <c r="Q29" s="176"/>
      <c r="R29" s="162"/>
      <c r="S29" s="144" t="s">
        <v>132</v>
      </c>
      <c r="T29" s="175"/>
      <c r="U29" s="145">
        <v>1</v>
      </c>
      <c r="V29" s="145">
        <v>1</v>
      </c>
      <c r="W29" s="146">
        <v>2</v>
      </c>
      <c r="X29" s="174">
        <f t="shared" si="9"/>
        <v>0.970873786407767</v>
      </c>
      <c r="Y29" s="99"/>
      <c r="AB29" s="234" t="s">
        <v>5</v>
      </c>
      <c r="AC29" s="237" t="s">
        <v>30</v>
      </c>
      <c r="AD29" s="238" t="s">
        <v>25</v>
      </c>
      <c r="AE29" s="238" t="s">
        <v>20</v>
      </c>
      <c r="AF29" s="239" t="s">
        <v>356</v>
      </c>
      <c r="AG29" s="30" t="s">
        <v>208</v>
      </c>
      <c r="AH29" s="56"/>
      <c r="AI29" s="56"/>
      <c r="AJ29" s="56"/>
      <c r="AK29" s="234" t="s">
        <v>5</v>
      </c>
      <c r="AL29" s="237" t="s">
        <v>30</v>
      </c>
      <c r="AM29" s="238" t="s">
        <v>20</v>
      </c>
      <c r="AN29" s="239" t="s">
        <v>356</v>
      </c>
      <c r="AO29" s="30" t="s">
        <v>208</v>
      </c>
      <c r="AS29" s="234" t="s">
        <v>5</v>
      </c>
      <c r="AT29" s="237" t="s">
        <v>51</v>
      </c>
      <c r="AU29" s="238" t="s">
        <v>26</v>
      </c>
      <c r="AV29" s="238" t="s">
        <v>31</v>
      </c>
      <c r="AW29" s="239" t="s">
        <v>356</v>
      </c>
      <c r="AX29" s="30" t="s">
        <v>208</v>
      </c>
      <c r="BA29" s="234" t="s">
        <v>5</v>
      </c>
      <c r="BB29" s="237" t="s">
        <v>27</v>
      </c>
      <c r="BC29" s="238" t="s">
        <v>52</v>
      </c>
      <c r="BD29" s="238" t="s">
        <v>34</v>
      </c>
      <c r="BE29" s="239" t="s">
        <v>356</v>
      </c>
      <c r="BF29" s="30" t="s">
        <v>208</v>
      </c>
    </row>
    <row r="30" spans="1:67" ht="15.75" customHeight="1">
      <c r="A30" s="144" t="s">
        <v>179</v>
      </c>
      <c r="B30" s="145"/>
      <c r="C30" s="145">
        <v>2</v>
      </c>
      <c r="D30" s="146">
        <v>2</v>
      </c>
      <c r="E30" s="166">
        <f t="shared" si="7"/>
        <v>0.94339622641509435</v>
      </c>
      <c r="G30" s="144" t="s">
        <v>35</v>
      </c>
      <c r="H30" s="175"/>
      <c r="I30" s="145">
        <v>33</v>
      </c>
      <c r="J30" s="145">
        <v>13</v>
      </c>
      <c r="K30" s="145">
        <v>7</v>
      </c>
      <c r="L30" s="145">
        <v>5</v>
      </c>
      <c r="M30" s="145">
        <v>2</v>
      </c>
      <c r="N30" s="145">
        <v>2</v>
      </c>
      <c r="O30" s="146">
        <v>62</v>
      </c>
      <c r="P30" s="166">
        <f t="shared" si="8"/>
        <v>29.95169082125604</v>
      </c>
      <c r="Q30" s="177"/>
      <c r="R30" s="162"/>
      <c r="S30" s="144" t="s">
        <v>35</v>
      </c>
      <c r="T30" s="175">
        <v>0</v>
      </c>
      <c r="U30" s="145">
        <v>21</v>
      </c>
      <c r="V30" s="145">
        <v>39</v>
      </c>
      <c r="W30" s="146">
        <v>60</v>
      </c>
      <c r="X30" s="174">
        <f t="shared" si="9"/>
        <v>29.126213592233011</v>
      </c>
      <c r="Y30" s="131"/>
      <c r="AB30" s="237" t="s">
        <v>21</v>
      </c>
      <c r="AC30" s="240">
        <v>7</v>
      </c>
      <c r="AD30" s="241">
        <v>20</v>
      </c>
      <c r="AE30" s="241">
        <v>12</v>
      </c>
      <c r="AF30" s="242">
        <v>39</v>
      </c>
      <c r="AG30" s="134">
        <f t="shared" ref="AG30:AG42" si="10">AF30*100/212</f>
        <v>18.39622641509434</v>
      </c>
      <c r="AH30" s="56"/>
      <c r="AI30" s="56"/>
      <c r="AJ30" s="56"/>
      <c r="AK30" s="237" t="s">
        <v>21</v>
      </c>
      <c r="AL30" s="240">
        <v>18</v>
      </c>
      <c r="AM30" s="241">
        <v>21</v>
      </c>
      <c r="AN30" s="242">
        <v>39</v>
      </c>
      <c r="AO30" s="134">
        <f t="shared" ref="AO30:AO43" si="11">AN30*100/212</f>
        <v>18.39622641509434</v>
      </c>
      <c r="AS30" s="237" t="s">
        <v>21</v>
      </c>
      <c r="AT30" s="240">
        <v>2</v>
      </c>
      <c r="AU30" s="241">
        <v>6</v>
      </c>
      <c r="AV30" s="241">
        <v>31</v>
      </c>
      <c r="AW30" s="242">
        <v>39</v>
      </c>
      <c r="AX30" s="134">
        <f t="shared" ref="AX30:AX43" si="12">AW30*100/212</f>
        <v>18.39622641509434</v>
      </c>
      <c r="BA30" s="237" t="s">
        <v>21</v>
      </c>
      <c r="BB30" s="240">
        <v>32</v>
      </c>
      <c r="BC30" s="241">
        <v>2</v>
      </c>
      <c r="BD30" s="241">
        <v>5</v>
      </c>
      <c r="BE30" s="242">
        <v>39</v>
      </c>
      <c r="BF30" s="134">
        <f t="shared" ref="BF30:BF43" si="13">BE30*100/212</f>
        <v>18.39622641509434</v>
      </c>
    </row>
    <row r="31" spans="1:67" ht="15.75" customHeight="1">
      <c r="A31" s="144" t="s">
        <v>148</v>
      </c>
      <c r="B31" s="145">
        <v>1</v>
      </c>
      <c r="C31" s="145">
        <v>2</v>
      </c>
      <c r="D31" s="146">
        <v>3</v>
      </c>
      <c r="E31" s="166">
        <f t="shared" si="7"/>
        <v>1.4150943396226414</v>
      </c>
      <c r="G31" s="144" t="s">
        <v>179</v>
      </c>
      <c r="H31" s="175"/>
      <c r="I31" s="145">
        <v>2</v>
      </c>
      <c r="J31" s="145"/>
      <c r="K31" s="145"/>
      <c r="L31" s="145"/>
      <c r="M31" s="145"/>
      <c r="N31" s="145"/>
      <c r="O31" s="146">
        <v>2</v>
      </c>
      <c r="P31" s="166">
        <f t="shared" si="8"/>
        <v>0.96618357487922701</v>
      </c>
      <c r="Q31" s="177"/>
      <c r="R31" s="162"/>
      <c r="S31" s="144" t="s">
        <v>179</v>
      </c>
      <c r="T31" s="175"/>
      <c r="U31" s="145"/>
      <c r="V31" s="145">
        <v>2</v>
      </c>
      <c r="W31" s="146">
        <v>2</v>
      </c>
      <c r="X31" s="174">
        <f t="shared" si="9"/>
        <v>0.970873786407767</v>
      </c>
      <c r="Y31" s="131"/>
      <c r="AB31" s="243" t="s">
        <v>74</v>
      </c>
      <c r="AC31" s="244">
        <v>3</v>
      </c>
      <c r="AD31" s="245">
        <v>3</v>
      </c>
      <c r="AE31" s="245">
        <v>2</v>
      </c>
      <c r="AF31" s="246">
        <v>8</v>
      </c>
      <c r="AG31" s="134">
        <f t="shared" si="10"/>
        <v>3.7735849056603774</v>
      </c>
      <c r="AH31" s="56"/>
      <c r="AI31" s="56"/>
      <c r="AJ31" s="56"/>
      <c r="AK31" s="243" t="s">
        <v>74</v>
      </c>
      <c r="AL31" s="244">
        <v>5</v>
      </c>
      <c r="AM31" s="245">
        <v>3</v>
      </c>
      <c r="AN31" s="246">
        <v>8</v>
      </c>
      <c r="AO31" s="134">
        <f t="shared" si="11"/>
        <v>3.7735849056603774</v>
      </c>
      <c r="AS31" s="243" t="s">
        <v>74</v>
      </c>
      <c r="AT31" s="244">
        <v>1</v>
      </c>
      <c r="AU31" s="245"/>
      <c r="AV31" s="245">
        <v>7</v>
      </c>
      <c r="AW31" s="246">
        <v>8</v>
      </c>
      <c r="AX31" s="134">
        <f t="shared" si="12"/>
        <v>3.7735849056603774</v>
      </c>
      <c r="BA31" s="243" t="s">
        <v>74</v>
      </c>
      <c r="BB31" s="244">
        <v>6</v>
      </c>
      <c r="BC31" s="245">
        <v>1</v>
      </c>
      <c r="BD31" s="245">
        <v>1</v>
      </c>
      <c r="BE31" s="246">
        <v>8</v>
      </c>
      <c r="BF31" s="134">
        <f t="shared" si="13"/>
        <v>3.7735849056603774</v>
      </c>
    </row>
    <row r="32" spans="1:67" ht="15.75" customHeight="1">
      <c r="A32" s="144" t="s">
        <v>82</v>
      </c>
      <c r="B32" s="145"/>
      <c r="C32" s="145">
        <v>3</v>
      </c>
      <c r="D32" s="146">
        <v>3</v>
      </c>
      <c r="E32" s="166">
        <f t="shared" si="7"/>
        <v>1.4150943396226414</v>
      </c>
      <c r="G32" s="144" t="s">
        <v>148</v>
      </c>
      <c r="H32" s="175"/>
      <c r="I32" s="145"/>
      <c r="J32" s="145">
        <v>2</v>
      </c>
      <c r="K32" s="145"/>
      <c r="L32" s="145">
        <v>1</v>
      </c>
      <c r="M32" s="145"/>
      <c r="N32" s="145"/>
      <c r="O32" s="146">
        <v>3</v>
      </c>
      <c r="P32" s="166">
        <f t="shared" si="8"/>
        <v>1.4492753623188406</v>
      </c>
      <c r="Q32" s="177"/>
      <c r="R32" s="162"/>
      <c r="S32" s="144" t="s">
        <v>148</v>
      </c>
      <c r="T32" s="175"/>
      <c r="U32" s="145">
        <v>1</v>
      </c>
      <c r="V32" s="145">
        <v>2</v>
      </c>
      <c r="W32" s="146">
        <v>3</v>
      </c>
      <c r="X32" s="174">
        <f t="shared" si="9"/>
        <v>1.4563106796116505</v>
      </c>
      <c r="Y32" s="131"/>
      <c r="AB32" s="243" t="s">
        <v>58</v>
      </c>
      <c r="AC32" s="244"/>
      <c r="AD32" s="245"/>
      <c r="AE32" s="245">
        <v>1</v>
      </c>
      <c r="AF32" s="246">
        <v>1</v>
      </c>
      <c r="AG32" s="134">
        <f t="shared" si="10"/>
        <v>0.47169811320754718</v>
      </c>
      <c r="AH32" s="56"/>
      <c r="AI32" s="56"/>
      <c r="AJ32" s="56"/>
      <c r="AK32" s="243" t="s">
        <v>58</v>
      </c>
      <c r="AL32" s="244"/>
      <c r="AM32" s="245">
        <v>1</v>
      </c>
      <c r="AN32" s="246">
        <v>1</v>
      </c>
      <c r="AO32" s="134">
        <f t="shared" si="11"/>
        <v>0.47169811320754718</v>
      </c>
      <c r="AS32" s="243" t="s">
        <v>58</v>
      </c>
      <c r="AT32" s="244"/>
      <c r="AU32" s="245"/>
      <c r="AV32" s="245">
        <v>1</v>
      </c>
      <c r="AW32" s="246">
        <v>1</v>
      </c>
      <c r="AX32" s="134">
        <f t="shared" si="12"/>
        <v>0.47169811320754718</v>
      </c>
      <c r="BA32" s="243" t="s">
        <v>58</v>
      </c>
      <c r="BB32" s="244"/>
      <c r="BC32" s="245"/>
      <c r="BD32" s="245">
        <v>1</v>
      </c>
      <c r="BE32" s="246">
        <v>1</v>
      </c>
      <c r="BF32" s="134">
        <f t="shared" si="13"/>
        <v>0.47169811320754718</v>
      </c>
    </row>
    <row r="33" spans="1:58" ht="15.75" customHeight="1">
      <c r="A33" s="144" t="s">
        <v>32</v>
      </c>
      <c r="B33" s="145">
        <v>3</v>
      </c>
      <c r="C33" s="145">
        <v>18</v>
      </c>
      <c r="D33" s="146">
        <v>21</v>
      </c>
      <c r="E33" s="166">
        <f t="shared" si="7"/>
        <v>9.9056603773584904</v>
      </c>
      <c r="G33" s="144" t="s">
        <v>82</v>
      </c>
      <c r="H33" s="175"/>
      <c r="I33" s="145"/>
      <c r="J33" s="145">
        <v>1</v>
      </c>
      <c r="K33" s="145"/>
      <c r="L33" s="145"/>
      <c r="M33" s="145"/>
      <c r="N33" s="145">
        <v>2</v>
      </c>
      <c r="O33" s="146">
        <v>3</v>
      </c>
      <c r="P33" s="166">
        <f t="shared" si="8"/>
        <v>1.4492753623188406</v>
      </c>
      <c r="Q33" s="177"/>
      <c r="R33" s="162"/>
      <c r="S33" s="144" t="s">
        <v>82</v>
      </c>
      <c r="T33" s="175"/>
      <c r="U33" s="145">
        <v>1</v>
      </c>
      <c r="V33" s="145">
        <v>2</v>
      </c>
      <c r="W33" s="146">
        <v>3</v>
      </c>
      <c r="X33" s="174">
        <f t="shared" si="9"/>
        <v>1.4563106796116505</v>
      </c>
      <c r="Y33" s="131"/>
      <c r="AB33" s="243" t="s">
        <v>132</v>
      </c>
      <c r="AC33" s="244"/>
      <c r="AD33" s="245">
        <v>2</v>
      </c>
      <c r="AE33" s="245"/>
      <c r="AF33" s="246">
        <v>2</v>
      </c>
      <c r="AG33" s="134">
        <f t="shared" si="10"/>
        <v>0.94339622641509435</v>
      </c>
      <c r="AH33" s="56"/>
      <c r="AI33" s="56"/>
      <c r="AJ33" s="56"/>
      <c r="AK33" s="243" t="s">
        <v>132</v>
      </c>
      <c r="AL33" s="244">
        <v>2</v>
      </c>
      <c r="AM33" s="245"/>
      <c r="AN33" s="246">
        <v>2</v>
      </c>
      <c r="AO33" s="134">
        <f t="shared" si="11"/>
        <v>0.94339622641509435</v>
      </c>
      <c r="AS33" s="243" t="s">
        <v>132</v>
      </c>
      <c r="AT33" s="244"/>
      <c r="AU33" s="245"/>
      <c r="AV33" s="245">
        <v>2</v>
      </c>
      <c r="AW33" s="246">
        <v>2</v>
      </c>
      <c r="AX33" s="134">
        <f t="shared" si="12"/>
        <v>0.94339622641509435</v>
      </c>
      <c r="BA33" s="243" t="s">
        <v>132</v>
      </c>
      <c r="BB33" s="244">
        <v>2</v>
      </c>
      <c r="BC33" s="245"/>
      <c r="BD33" s="245"/>
      <c r="BE33" s="246">
        <v>2</v>
      </c>
      <c r="BF33" s="134">
        <f t="shared" si="13"/>
        <v>0.94339622641509435</v>
      </c>
    </row>
    <row r="34" spans="1:58" ht="15.75" customHeight="1">
      <c r="A34" s="144" t="s">
        <v>39</v>
      </c>
      <c r="B34" s="145">
        <v>4</v>
      </c>
      <c r="C34" s="145">
        <v>41</v>
      </c>
      <c r="D34" s="146">
        <v>45</v>
      </c>
      <c r="E34" s="166">
        <f t="shared" si="7"/>
        <v>21.226415094339622</v>
      </c>
      <c r="G34" s="144" t="s">
        <v>32</v>
      </c>
      <c r="H34" s="175"/>
      <c r="I34" s="145"/>
      <c r="J34" s="145">
        <v>14</v>
      </c>
      <c r="K34" s="145">
        <v>3</v>
      </c>
      <c r="L34" s="145">
        <v>3</v>
      </c>
      <c r="M34" s="145"/>
      <c r="N34" s="145">
        <v>1</v>
      </c>
      <c r="O34" s="146">
        <v>21</v>
      </c>
      <c r="P34" s="166">
        <f t="shared" si="8"/>
        <v>10.144927536231885</v>
      </c>
      <c r="Q34" s="177"/>
      <c r="R34" s="162"/>
      <c r="S34" s="144" t="s">
        <v>32</v>
      </c>
      <c r="T34" s="175"/>
      <c r="U34" s="145">
        <v>6</v>
      </c>
      <c r="V34" s="145">
        <v>15</v>
      </c>
      <c r="W34" s="146">
        <v>21</v>
      </c>
      <c r="X34" s="174">
        <f t="shared" si="9"/>
        <v>10.194174757281553</v>
      </c>
      <c r="Y34" s="131"/>
      <c r="AB34" s="243" t="s">
        <v>35</v>
      </c>
      <c r="AC34" s="244">
        <v>13</v>
      </c>
      <c r="AD34" s="245">
        <v>20</v>
      </c>
      <c r="AE34" s="245">
        <v>29</v>
      </c>
      <c r="AF34" s="246">
        <v>62</v>
      </c>
      <c r="AG34" s="134">
        <f t="shared" si="10"/>
        <v>29.245283018867923</v>
      </c>
      <c r="AH34" s="56"/>
      <c r="AI34" s="56"/>
      <c r="AJ34" s="56"/>
      <c r="AK34" s="243" t="s">
        <v>35</v>
      </c>
      <c r="AL34" s="244">
        <v>25</v>
      </c>
      <c r="AM34" s="245">
        <v>37</v>
      </c>
      <c r="AN34" s="246">
        <v>62</v>
      </c>
      <c r="AO34" s="134">
        <f t="shared" si="11"/>
        <v>29.245283018867923</v>
      </c>
      <c r="AS34" s="243" t="s">
        <v>35</v>
      </c>
      <c r="AT34" s="244"/>
      <c r="AU34" s="245">
        <v>14</v>
      </c>
      <c r="AV34" s="245">
        <v>48</v>
      </c>
      <c r="AW34" s="246">
        <v>62</v>
      </c>
      <c r="AX34" s="134">
        <f t="shared" si="12"/>
        <v>29.245283018867923</v>
      </c>
      <c r="BA34" s="243" t="s">
        <v>35</v>
      </c>
      <c r="BB34" s="244">
        <v>41</v>
      </c>
      <c r="BC34" s="245">
        <v>4</v>
      </c>
      <c r="BD34" s="245">
        <v>17</v>
      </c>
      <c r="BE34" s="246">
        <v>62</v>
      </c>
      <c r="BF34" s="134">
        <f t="shared" si="13"/>
        <v>29.245283018867923</v>
      </c>
    </row>
    <row r="35" spans="1:58" ht="15.75" customHeight="1">
      <c r="A35" s="144" t="s">
        <v>83</v>
      </c>
      <c r="B35" s="145">
        <v>2</v>
      </c>
      <c r="C35" s="145">
        <v>3</v>
      </c>
      <c r="D35" s="146">
        <v>5</v>
      </c>
      <c r="E35" s="166">
        <f t="shared" si="7"/>
        <v>2.358490566037736</v>
      </c>
      <c r="G35" s="144" t="s">
        <v>39</v>
      </c>
      <c r="H35" s="175"/>
      <c r="I35" s="145">
        <v>6</v>
      </c>
      <c r="J35" s="145">
        <v>30</v>
      </c>
      <c r="K35" s="145"/>
      <c r="L35" s="145">
        <v>1</v>
      </c>
      <c r="M35" s="145">
        <v>8</v>
      </c>
      <c r="N35" s="145"/>
      <c r="O35" s="146">
        <v>45</v>
      </c>
      <c r="P35" s="166">
        <f t="shared" si="8"/>
        <v>21.739130434782609</v>
      </c>
      <c r="Q35" s="177"/>
      <c r="R35" s="162"/>
      <c r="S35" s="144" t="s">
        <v>39</v>
      </c>
      <c r="T35" s="175"/>
      <c r="U35" s="145">
        <v>30</v>
      </c>
      <c r="V35" s="145">
        <v>15</v>
      </c>
      <c r="W35" s="146">
        <v>45</v>
      </c>
      <c r="X35" s="174">
        <f t="shared" si="9"/>
        <v>21.844660194174757</v>
      </c>
      <c r="Y35" s="131"/>
      <c r="AB35" s="243" t="s">
        <v>179</v>
      </c>
      <c r="AC35" s="244"/>
      <c r="AD35" s="245">
        <v>2</v>
      </c>
      <c r="AE35" s="245"/>
      <c r="AF35" s="246">
        <v>2</v>
      </c>
      <c r="AG35" s="134">
        <f t="shared" si="10"/>
        <v>0.94339622641509435</v>
      </c>
      <c r="AH35" s="56"/>
      <c r="AI35" s="56"/>
      <c r="AJ35" s="56"/>
      <c r="AK35" s="243" t="s">
        <v>179</v>
      </c>
      <c r="AL35" s="244"/>
      <c r="AM35" s="245">
        <v>2</v>
      </c>
      <c r="AN35" s="246">
        <v>2</v>
      </c>
      <c r="AO35" s="134">
        <f t="shared" si="11"/>
        <v>0.94339622641509435</v>
      </c>
      <c r="AS35" s="243" t="s">
        <v>179</v>
      </c>
      <c r="AT35" s="244"/>
      <c r="AU35" s="245"/>
      <c r="AV35" s="245">
        <v>2</v>
      </c>
      <c r="AW35" s="246">
        <v>2</v>
      </c>
      <c r="AX35" s="134">
        <f t="shared" si="12"/>
        <v>0.94339622641509435</v>
      </c>
      <c r="BA35" s="243" t="s">
        <v>179</v>
      </c>
      <c r="BB35" s="244"/>
      <c r="BC35" s="245"/>
      <c r="BD35" s="245">
        <v>2</v>
      </c>
      <c r="BE35" s="246">
        <v>2</v>
      </c>
      <c r="BF35" s="134">
        <f t="shared" si="13"/>
        <v>0.94339622641509435</v>
      </c>
    </row>
    <row r="36" spans="1:58" ht="15.75" customHeight="1">
      <c r="A36" s="149" t="s">
        <v>89</v>
      </c>
      <c r="B36" s="150">
        <v>1</v>
      </c>
      <c r="C36" s="150">
        <v>2</v>
      </c>
      <c r="D36" s="151">
        <v>3</v>
      </c>
      <c r="E36" s="178">
        <f t="shared" si="7"/>
        <v>1.4150943396226414</v>
      </c>
      <c r="G36" s="144" t="s">
        <v>83</v>
      </c>
      <c r="H36" s="175"/>
      <c r="I36" s="145">
        <v>1</v>
      </c>
      <c r="J36" s="145">
        <v>2</v>
      </c>
      <c r="K36" s="145"/>
      <c r="L36" s="145"/>
      <c r="M36" s="145">
        <v>2</v>
      </c>
      <c r="N36" s="145"/>
      <c r="O36" s="146">
        <v>5</v>
      </c>
      <c r="P36" s="166">
        <f t="shared" si="8"/>
        <v>2.4154589371980677</v>
      </c>
      <c r="Q36" s="177"/>
      <c r="R36" s="162"/>
      <c r="S36" s="144" t="s">
        <v>83</v>
      </c>
      <c r="T36" s="175"/>
      <c r="U36" s="145">
        <v>4</v>
      </c>
      <c r="V36" s="145">
        <v>1</v>
      </c>
      <c r="W36" s="146">
        <v>5</v>
      </c>
      <c r="X36" s="174">
        <f t="shared" si="9"/>
        <v>2.4271844660194173</v>
      </c>
      <c r="Y36" s="131"/>
      <c r="AB36" s="243" t="s">
        <v>148</v>
      </c>
      <c r="AC36" s="244"/>
      <c r="AD36" s="245">
        <v>1</v>
      </c>
      <c r="AE36" s="245">
        <v>2</v>
      </c>
      <c r="AF36" s="246">
        <v>3</v>
      </c>
      <c r="AG36" s="134">
        <f t="shared" si="10"/>
        <v>1.4150943396226414</v>
      </c>
      <c r="AH36" s="56"/>
      <c r="AI36" s="56"/>
      <c r="AJ36" s="56"/>
      <c r="AK36" s="243" t="s">
        <v>148</v>
      </c>
      <c r="AL36" s="244"/>
      <c r="AM36" s="245">
        <v>3</v>
      </c>
      <c r="AN36" s="246">
        <v>3</v>
      </c>
      <c r="AO36" s="134">
        <f t="shared" si="11"/>
        <v>1.4150943396226414</v>
      </c>
      <c r="AS36" s="243" t="s">
        <v>148</v>
      </c>
      <c r="AT36" s="244"/>
      <c r="AU36" s="245">
        <v>2</v>
      </c>
      <c r="AV36" s="245">
        <v>1</v>
      </c>
      <c r="AW36" s="246">
        <v>3</v>
      </c>
      <c r="AX36" s="134">
        <f t="shared" si="12"/>
        <v>1.4150943396226414</v>
      </c>
      <c r="BA36" s="243" t="s">
        <v>148</v>
      </c>
      <c r="BB36" s="244">
        <v>2</v>
      </c>
      <c r="BC36" s="245"/>
      <c r="BD36" s="245">
        <v>1</v>
      </c>
      <c r="BE36" s="246">
        <v>3</v>
      </c>
      <c r="BF36" s="134">
        <f t="shared" si="13"/>
        <v>1.4150943396226414</v>
      </c>
    </row>
    <row r="37" spans="1:58" ht="15.75" customHeight="1">
      <c r="A37" s="153" t="s">
        <v>349</v>
      </c>
      <c r="B37" s="153">
        <v>36</v>
      </c>
      <c r="C37" s="153">
        <v>176</v>
      </c>
      <c r="D37" s="154">
        <v>212</v>
      </c>
      <c r="E37" s="178">
        <f t="shared" si="7"/>
        <v>100</v>
      </c>
      <c r="G37" s="149" t="s">
        <v>89</v>
      </c>
      <c r="H37" s="179"/>
      <c r="I37" s="150">
        <v>1</v>
      </c>
      <c r="J37" s="150">
        <v>2</v>
      </c>
      <c r="K37" s="150"/>
      <c r="L37" s="150"/>
      <c r="M37" s="150"/>
      <c r="N37" s="150"/>
      <c r="O37" s="151">
        <v>3</v>
      </c>
      <c r="P37" s="178">
        <f t="shared" si="8"/>
        <v>1.4492753623188406</v>
      </c>
      <c r="Q37" s="177"/>
      <c r="R37" s="162"/>
      <c r="S37" s="149" t="s">
        <v>89</v>
      </c>
      <c r="T37" s="179"/>
      <c r="U37" s="150">
        <v>1</v>
      </c>
      <c r="V37" s="150">
        <v>2</v>
      </c>
      <c r="W37" s="151">
        <v>3</v>
      </c>
      <c r="X37" s="180">
        <f t="shared" si="9"/>
        <v>1.4563106796116505</v>
      </c>
      <c r="Y37" s="131"/>
      <c r="AB37" s="243" t="s">
        <v>82</v>
      </c>
      <c r="AC37" s="244"/>
      <c r="AD37" s="245">
        <v>1</v>
      </c>
      <c r="AE37" s="245">
        <v>2</v>
      </c>
      <c r="AF37" s="246">
        <v>3</v>
      </c>
      <c r="AG37" s="134">
        <f t="shared" si="10"/>
        <v>1.4150943396226414</v>
      </c>
      <c r="AK37" s="243" t="s">
        <v>82</v>
      </c>
      <c r="AL37" s="244">
        <v>3</v>
      </c>
      <c r="AM37" s="245"/>
      <c r="AN37" s="246">
        <v>3</v>
      </c>
      <c r="AO37" s="134">
        <f t="shared" si="11"/>
        <v>1.4150943396226414</v>
      </c>
      <c r="AS37" s="243" t="s">
        <v>82</v>
      </c>
      <c r="AT37" s="244">
        <v>1</v>
      </c>
      <c r="AU37" s="245">
        <v>1</v>
      </c>
      <c r="AV37" s="245">
        <v>1</v>
      </c>
      <c r="AW37" s="246">
        <v>3</v>
      </c>
      <c r="AX37" s="134">
        <f t="shared" si="12"/>
        <v>1.4150943396226414</v>
      </c>
      <c r="BA37" s="243" t="s">
        <v>82</v>
      </c>
      <c r="BB37" s="244">
        <v>2</v>
      </c>
      <c r="BC37" s="245"/>
      <c r="BD37" s="245">
        <v>1</v>
      </c>
      <c r="BE37" s="246">
        <v>3</v>
      </c>
      <c r="BF37" s="134">
        <f t="shared" si="13"/>
        <v>1.4150943396226414</v>
      </c>
    </row>
    <row r="38" spans="1:58" ht="15.75" customHeight="1">
      <c r="A38" s="56"/>
      <c r="B38" s="56"/>
      <c r="C38" s="56"/>
      <c r="D38" s="56"/>
      <c r="E38" s="131"/>
      <c r="G38" s="153" t="s">
        <v>349</v>
      </c>
      <c r="H38" s="153">
        <v>0</v>
      </c>
      <c r="I38" s="153">
        <v>53</v>
      </c>
      <c r="J38" s="153">
        <v>103</v>
      </c>
      <c r="K38" s="153">
        <v>13</v>
      </c>
      <c r="L38" s="153">
        <v>19</v>
      </c>
      <c r="M38" s="153">
        <v>14</v>
      </c>
      <c r="N38" s="153">
        <v>5</v>
      </c>
      <c r="O38" s="154">
        <v>207</v>
      </c>
      <c r="P38" s="181">
        <f t="shared" si="8"/>
        <v>100</v>
      </c>
      <c r="Q38" s="177"/>
      <c r="R38" s="162"/>
      <c r="S38" s="153" t="s">
        <v>349</v>
      </c>
      <c r="T38" s="153">
        <v>0</v>
      </c>
      <c r="U38" s="153">
        <v>99</v>
      </c>
      <c r="V38" s="153">
        <v>107</v>
      </c>
      <c r="W38" s="154">
        <v>206</v>
      </c>
      <c r="X38" s="182">
        <f t="shared" si="9"/>
        <v>100</v>
      </c>
      <c r="Y38" s="131"/>
      <c r="AB38" s="243" t="s">
        <v>32</v>
      </c>
      <c r="AC38" s="244">
        <v>5</v>
      </c>
      <c r="AD38" s="245">
        <v>6</v>
      </c>
      <c r="AE38" s="245">
        <v>10</v>
      </c>
      <c r="AF38" s="246">
        <v>21</v>
      </c>
      <c r="AG38" s="134">
        <f t="shared" si="10"/>
        <v>9.9056603773584904</v>
      </c>
      <c r="AK38" s="243" t="s">
        <v>32</v>
      </c>
      <c r="AL38" s="244">
        <v>11</v>
      </c>
      <c r="AM38" s="245">
        <v>10</v>
      </c>
      <c r="AN38" s="246">
        <v>21</v>
      </c>
      <c r="AO38" s="134">
        <f t="shared" si="11"/>
        <v>9.9056603773584904</v>
      </c>
      <c r="AS38" s="243" t="s">
        <v>32</v>
      </c>
      <c r="AT38" s="244">
        <v>1</v>
      </c>
      <c r="AU38" s="245">
        <v>5</v>
      </c>
      <c r="AV38" s="245">
        <v>15</v>
      </c>
      <c r="AW38" s="246">
        <v>21</v>
      </c>
      <c r="AX38" s="134">
        <f t="shared" si="12"/>
        <v>9.9056603773584904</v>
      </c>
      <c r="BA38" s="243" t="s">
        <v>32</v>
      </c>
      <c r="BB38" s="244">
        <v>9</v>
      </c>
      <c r="BC38" s="245">
        <v>3</v>
      </c>
      <c r="BD38" s="245">
        <v>9</v>
      </c>
      <c r="BE38" s="246">
        <v>21</v>
      </c>
      <c r="BF38" s="134">
        <f t="shared" si="13"/>
        <v>9.9056603773584904</v>
      </c>
    </row>
    <row r="39" spans="1:58" ht="15.75" customHeight="1">
      <c r="A39" s="56"/>
      <c r="B39" s="56"/>
      <c r="C39" s="56"/>
      <c r="D39" s="56"/>
      <c r="E39" s="131"/>
      <c r="H39" s="56"/>
      <c r="I39" s="56"/>
      <c r="J39" s="56"/>
      <c r="K39" s="56"/>
      <c r="L39" s="56"/>
      <c r="M39" s="56"/>
      <c r="N39" s="56"/>
      <c r="O39" s="56"/>
      <c r="P39" s="56"/>
      <c r="Q39" s="131"/>
      <c r="T39" s="56"/>
      <c r="U39" s="56"/>
      <c r="V39" s="56"/>
      <c r="W39" s="56"/>
      <c r="X39" s="56"/>
      <c r="Y39" s="131"/>
      <c r="AB39" s="243" t="s">
        <v>39</v>
      </c>
      <c r="AC39" s="244">
        <v>15</v>
      </c>
      <c r="AD39" s="245">
        <v>16</v>
      </c>
      <c r="AE39" s="245">
        <v>14</v>
      </c>
      <c r="AF39" s="246">
        <v>45</v>
      </c>
      <c r="AG39" s="134">
        <f t="shared" si="10"/>
        <v>21.226415094339622</v>
      </c>
      <c r="AK39" s="243" t="s">
        <v>39</v>
      </c>
      <c r="AL39" s="244">
        <v>29</v>
      </c>
      <c r="AM39" s="245">
        <v>16</v>
      </c>
      <c r="AN39" s="246">
        <v>45</v>
      </c>
      <c r="AO39" s="134">
        <f t="shared" si="11"/>
        <v>21.226415094339622</v>
      </c>
      <c r="AS39" s="243" t="s">
        <v>39</v>
      </c>
      <c r="AT39" s="244">
        <v>6</v>
      </c>
      <c r="AU39" s="245">
        <v>10</v>
      </c>
      <c r="AV39" s="245">
        <v>29</v>
      </c>
      <c r="AW39" s="246">
        <v>45</v>
      </c>
      <c r="AX39" s="134">
        <f t="shared" si="12"/>
        <v>21.226415094339622</v>
      </c>
      <c r="BA39" s="243" t="s">
        <v>39</v>
      </c>
      <c r="BB39" s="244">
        <v>28</v>
      </c>
      <c r="BC39" s="245">
        <v>6</v>
      </c>
      <c r="BD39" s="245">
        <v>11</v>
      </c>
      <c r="BE39" s="246">
        <v>45</v>
      </c>
      <c r="BF39" s="134">
        <f t="shared" si="13"/>
        <v>21.226415094339622</v>
      </c>
    </row>
    <row r="40" spans="1:58" ht="15.75" customHeight="1">
      <c r="A40" s="56"/>
      <c r="B40" s="56"/>
      <c r="C40" s="56"/>
      <c r="D40" s="56"/>
      <c r="E40" s="131"/>
      <c r="H40" s="56"/>
      <c r="I40" s="56"/>
      <c r="J40" s="56"/>
      <c r="K40" s="56"/>
      <c r="L40" s="56"/>
      <c r="M40" s="56"/>
      <c r="N40" s="56"/>
      <c r="O40" s="56"/>
      <c r="P40" s="56"/>
      <c r="Q40" s="131"/>
      <c r="T40" s="25"/>
      <c r="U40" s="25"/>
      <c r="V40" s="25"/>
      <c r="W40" s="56"/>
      <c r="X40" s="56"/>
      <c r="Y40" s="131"/>
      <c r="AB40" s="243" t="s">
        <v>83</v>
      </c>
      <c r="AC40" s="244">
        <v>1</v>
      </c>
      <c r="AD40" s="245">
        <v>3</v>
      </c>
      <c r="AE40" s="245">
        <v>1</v>
      </c>
      <c r="AF40" s="246">
        <v>5</v>
      </c>
      <c r="AG40" s="134">
        <f t="shared" si="10"/>
        <v>2.358490566037736</v>
      </c>
      <c r="AK40" s="243" t="s">
        <v>83</v>
      </c>
      <c r="AL40" s="244">
        <v>3</v>
      </c>
      <c r="AM40" s="245">
        <v>2</v>
      </c>
      <c r="AN40" s="246">
        <v>5</v>
      </c>
      <c r="AO40" s="134">
        <f t="shared" si="11"/>
        <v>2.358490566037736</v>
      </c>
      <c r="AS40" s="243" t="s">
        <v>83</v>
      </c>
      <c r="AT40" s="244"/>
      <c r="AU40" s="245">
        <v>3</v>
      </c>
      <c r="AV40" s="245">
        <v>2</v>
      </c>
      <c r="AW40" s="246">
        <v>5</v>
      </c>
      <c r="AX40" s="134">
        <f t="shared" si="12"/>
        <v>2.358490566037736</v>
      </c>
      <c r="BA40" s="243" t="s">
        <v>83</v>
      </c>
      <c r="BB40" s="244">
        <v>2</v>
      </c>
      <c r="BC40" s="245"/>
      <c r="BD40" s="245">
        <v>3</v>
      </c>
      <c r="BE40" s="246">
        <v>5</v>
      </c>
      <c r="BF40" s="134">
        <f t="shared" si="13"/>
        <v>2.358490566037736</v>
      </c>
    </row>
    <row r="41" spans="1:58" ht="15.75" customHeight="1">
      <c r="A41" s="56"/>
      <c r="B41" s="56"/>
      <c r="C41" s="56"/>
      <c r="D41" s="56"/>
      <c r="E41" s="131"/>
      <c r="H41" s="56"/>
      <c r="I41" s="56"/>
      <c r="J41" s="56"/>
      <c r="K41" s="56"/>
      <c r="L41" s="56"/>
      <c r="M41" s="56"/>
      <c r="N41" s="56"/>
      <c r="O41" s="56"/>
      <c r="P41" s="56"/>
      <c r="Q41" s="131"/>
      <c r="T41" s="183"/>
      <c r="U41" s="45"/>
      <c r="V41" s="45"/>
      <c r="W41" s="56"/>
      <c r="X41" s="56"/>
      <c r="Y41" s="131"/>
      <c r="AB41" s="243" t="s">
        <v>89</v>
      </c>
      <c r="AC41" s="244">
        <v>1</v>
      </c>
      <c r="AD41" s="245"/>
      <c r="AE41" s="245">
        <v>2</v>
      </c>
      <c r="AF41" s="246">
        <v>3</v>
      </c>
      <c r="AG41" s="134">
        <f t="shared" si="10"/>
        <v>1.4150943396226414</v>
      </c>
      <c r="AK41" s="243" t="s">
        <v>89</v>
      </c>
      <c r="AL41" s="244">
        <v>1</v>
      </c>
      <c r="AM41" s="245">
        <v>2</v>
      </c>
      <c r="AN41" s="246">
        <v>3</v>
      </c>
      <c r="AO41" s="134">
        <f t="shared" si="11"/>
        <v>1.4150943396226414</v>
      </c>
      <c r="AS41" s="243" t="s">
        <v>89</v>
      </c>
      <c r="AT41" s="244"/>
      <c r="AU41" s="245"/>
      <c r="AV41" s="245">
        <v>3</v>
      </c>
      <c r="AW41" s="246">
        <v>3</v>
      </c>
      <c r="AX41" s="134">
        <f t="shared" si="12"/>
        <v>1.4150943396226414</v>
      </c>
      <c r="BA41" s="243" t="s">
        <v>89</v>
      </c>
      <c r="BB41" s="244">
        <v>2</v>
      </c>
      <c r="BC41" s="245"/>
      <c r="BD41" s="245">
        <v>1</v>
      </c>
      <c r="BE41" s="246">
        <v>3</v>
      </c>
      <c r="BF41" s="134">
        <f t="shared" si="13"/>
        <v>1.4150943396226414</v>
      </c>
    </row>
    <row r="42" spans="1:58" ht="15.75" customHeight="1">
      <c r="A42" s="56"/>
      <c r="B42" s="56"/>
      <c r="C42" s="56"/>
      <c r="D42" s="56"/>
      <c r="E42" s="131"/>
      <c r="H42" s="56"/>
      <c r="I42" s="56"/>
      <c r="J42" s="56"/>
      <c r="K42" s="56"/>
      <c r="L42" s="56"/>
      <c r="M42" s="56"/>
      <c r="N42" s="56"/>
      <c r="O42" s="56"/>
      <c r="P42" s="56"/>
      <c r="Q42" s="131"/>
      <c r="S42" s="156"/>
      <c r="T42" s="156"/>
      <c r="U42" s="184"/>
      <c r="V42" s="184"/>
      <c r="W42" s="56"/>
      <c r="X42" s="56"/>
      <c r="Y42" s="131"/>
      <c r="AB42" s="243" t="s">
        <v>357</v>
      </c>
      <c r="AC42" s="244">
        <v>4</v>
      </c>
      <c r="AD42" s="245">
        <v>6</v>
      </c>
      <c r="AE42" s="245">
        <v>8</v>
      </c>
      <c r="AF42" s="246">
        <v>18</v>
      </c>
      <c r="AG42" s="134">
        <f t="shared" si="10"/>
        <v>8.4905660377358494</v>
      </c>
      <c r="AK42" s="243" t="s">
        <v>357</v>
      </c>
      <c r="AL42" s="244">
        <v>9</v>
      </c>
      <c r="AM42" s="245">
        <v>9</v>
      </c>
      <c r="AN42" s="246">
        <v>18</v>
      </c>
      <c r="AO42" s="134">
        <f t="shared" si="11"/>
        <v>8.4905660377358494</v>
      </c>
      <c r="AS42" s="243" t="s">
        <v>357</v>
      </c>
      <c r="AT42" s="244">
        <v>2</v>
      </c>
      <c r="AU42" s="245">
        <v>5</v>
      </c>
      <c r="AV42" s="245">
        <v>11</v>
      </c>
      <c r="AW42" s="246">
        <v>18</v>
      </c>
      <c r="AX42" s="134">
        <f t="shared" si="12"/>
        <v>8.4905660377358494</v>
      </c>
      <c r="BA42" s="243" t="s">
        <v>357</v>
      </c>
      <c r="BB42" s="244">
        <v>7</v>
      </c>
      <c r="BC42" s="245">
        <v>1</v>
      </c>
      <c r="BD42" s="245">
        <v>10</v>
      </c>
      <c r="BE42" s="246">
        <v>18</v>
      </c>
      <c r="BF42" s="134">
        <f t="shared" si="13"/>
        <v>8.4905660377358494</v>
      </c>
    </row>
    <row r="43" spans="1:58" ht="15.75" customHeight="1">
      <c r="A43" s="56"/>
      <c r="B43" s="56"/>
      <c r="C43" s="56"/>
      <c r="D43" s="56"/>
      <c r="H43" s="56"/>
      <c r="I43" s="56"/>
      <c r="J43" s="56"/>
      <c r="K43" s="56"/>
      <c r="L43" s="56"/>
      <c r="M43" s="56"/>
      <c r="N43" s="56"/>
      <c r="O43" s="56"/>
      <c r="P43" s="56"/>
      <c r="S43" s="156"/>
      <c r="T43" s="156"/>
      <c r="U43" s="184"/>
      <c r="V43" s="184"/>
      <c r="W43" s="56"/>
      <c r="X43" s="56"/>
      <c r="AB43" s="247" t="s">
        <v>356</v>
      </c>
      <c r="AC43" s="248">
        <v>49</v>
      </c>
      <c r="AD43" s="249">
        <v>80</v>
      </c>
      <c r="AE43" s="249">
        <v>83</v>
      </c>
      <c r="AF43" s="250">
        <v>212</v>
      </c>
      <c r="AG43" s="76">
        <f>SUM(AG30:AG42)</f>
        <v>99.999999999999986</v>
      </c>
      <c r="AK43" s="247" t="s">
        <v>356</v>
      </c>
      <c r="AL43" s="248">
        <v>106</v>
      </c>
      <c r="AM43" s="249">
        <v>106</v>
      </c>
      <c r="AN43" s="250">
        <v>212</v>
      </c>
      <c r="AO43" s="52">
        <f t="shared" si="11"/>
        <v>100</v>
      </c>
      <c r="AS43" s="247" t="s">
        <v>356</v>
      </c>
      <c r="AT43" s="248">
        <v>13</v>
      </c>
      <c r="AU43" s="249">
        <v>46</v>
      </c>
      <c r="AV43" s="249">
        <v>153</v>
      </c>
      <c r="AW43" s="250">
        <v>212</v>
      </c>
      <c r="AX43" s="52">
        <f t="shared" si="12"/>
        <v>100</v>
      </c>
      <c r="BA43" s="247" t="s">
        <v>356</v>
      </c>
      <c r="BB43" s="248">
        <v>133</v>
      </c>
      <c r="BC43" s="249">
        <v>17</v>
      </c>
      <c r="BD43" s="249">
        <v>62</v>
      </c>
      <c r="BE43" s="250">
        <v>212</v>
      </c>
      <c r="BF43" s="52">
        <f t="shared" si="13"/>
        <v>100</v>
      </c>
    </row>
    <row r="44" spans="1:58" ht="15.75" customHeight="1">
      <c r="S44" s="156"/>
      <c r="T44" s="156"/>
      <c r="U44" s="185"/>
      <c r="V44" s="185"/>
    </row>
    <row r="45" spans="1:58" ht="15.75" customHeight="1">
      <c r="S45" s="156"/>
      <c r="T45" s="156"/>
      <c r="U45" s="185"/>
      <c r="V45" s="185"/>
      <c r="AK45" s="186"/>
      <c r="AL45" s="186"/>
      <c r="AM45" s="186"/>
      <c r="BA45" s="25"/>
      <c r="BB45" s="25"/>
      <c r="BC45" s="25"/>
      <c r="BD45" s="25"/>
    </row>
    <row r="46" spans="1:58" ht="15.75" customHeight="1">
      <c r="H46" s="25"/>
      <c r="I46" s="25"/>
      <c r="J46" s="25"/>
      <c r="K46" s="25"/>
      <c r="L46" s="25"/>
      <c r="S46" s="156"/>
      <c r="T46" s="156"/>
      <c r="U46" s="185"/>
      <c r="V46" s="185"/>
      <c r="AB46" s="187"/>
      <c r="AC46" s="187"/>
      <c r="AD46" s="187"/>
      <c r="AE46" s="187"/>
      <c r="AF46" s="187"/>
      <c r="AK46" s="186"/>
      <c r="AL46" s="186"/>
      <c r="AM46" s="186"/>
      <c r="AS46" s="188"/>
      <c r="AT46" s="188"/>
      <c r="AU46" s="188"/>
      <c r="AV46" s="188"/>
      <c r="AW46" s="56"/>
      <c r="BA46" s="16"/>
      <c r="BB46" s="189"/>
      <c r="BC46" s="189"/>
      <c r="BD46" s="189"/>
    </row>
    <row r="47" spans="1:58" ht="13.8">
      <c r="H47" s="56"/>
      <c r="I47" s="190"/>
      <c r="J47" s="190"/>
      <c r="K47" s="190"/>
      <c r="L47" s="191"/>
      <c r="M47" s="191"/>
      <c r="N47" s="191"/>
      <c r="O47" s="191"/>
      <c r="S47" s="156"/>
      <c r="T47" s="156"/>
      <c r="U47" s="185"/>
      <c r="V47" s="185"/>
      <c r="W47" s="99"/>
      <c r="X47" s="99"/>
      <c r="AB47" s="187"/>
      <c r="AC47" s="187"/>
      <c r="AD47" s="187"/>
      <c r="AE47" s="187"/>
      <c r="AF47" s="187"/>
      <c r="AK47" s="186"/>
      <c r="AL47" s="186"/>
      <c r="AM47" s="186"/>
      <c r="AS47" s="192"/>
      <c r="AT47" s="193"/>
      <c r="AU47" s="193"/>
      <c r="AV47" s="193"/>
      <c r="AW47" s="56"/>
      <c r="BA47" s="192"/>
      <c r="BB47" s="194"/>
      <c r="BC47" s="194"/>
      <c r="BD47" s="194"/>
    </row>
    <row r="48" spans="1:58" ht="13.8">
      <c r="A48" s="195" t="s">
        <v>348</v>
      </c>
      <c r="B48" s="196" t="s">
        <v>4</v>
      </c>
      <c r="C48" s="160"/>
      <c r="D48" s="160"/>
      <c r="E48" s="138"/>
      <c r="G48" s="197" t="s">
        <v>350</v>
      </c>
      <c r="H48" s="198" t="s">
        <v>10</v>
      </c>
      <c r="I48" s="199"/>
      <c r="J48" s="200"/>
      <c r="K48" s="200"/>
      <c r="L48" s="201"/>
      <c r="M48" s="234" t="s">
        <v>355</v>
      </c>
      <c r="N48" s="234" t="s">
        <v>11</v>
      </c>
      <c r="O48" s="235"/>
      <c r="P48" s="236"/>
      <c r="R48" s="234" t="s">
        <v>359</v>
      </c>
      <c r="S48" s="234" t="s">
        <v>13</v>
      </c>
      <c r="T48" s="235"/>
      <c r="U48" s="235"/>
      <c r="V48" s="236"/>
      <c r="W48" s="131"/>
      <c r="X48" s="131"/>
      <c r="AB48" s="187"/>
      <c r="AC48" s="187"/>
      <c r="AD48" s="187"/>
      <c r="AE48" s="187"/>
      <c r="AF48" s="187"/>
      <c r="AK48" s="186"/>
      <c r="AL48" s="186"/>
      <c r="AM48" s="186"/>
      <c r="AS48" s="192"/>
      <c r="AT48" s="155"/>
      <c r="AU48" s="155"/>
      <c r="AV48" s="155"/>
      <c r="AW48" s="56"/>
      <c r="BA48" s="192"/>
      <c r="BB48" s="16"/>
      <c r="BC48" s="16"/>
      <c r="BD48" s="16"/>
    </row>
    <row r="49" spans="1:56" ht="14.4">
      <c r="A49" s="202" t="s">
        <v>2</v>
      </c>
      <c r="B49" s="170" t="s">
        <v>30</v>
      </c>
      <c r="C49" s="203" t="s">
        <v>20</v>
      </c>
      <c r="D49" s="171" t="s">
        <v>349</v>
      </c>
      <c r="E49" s="61" t="s">
        <v>208</v>
      </c>
      <c r="F49" s="99"/>
      <c r="G49" s="204" t="s">
        <v>2</v>
      </c>
      <c r="H49" s="205" t="s">
        <v>30</v>
      </c>
      <c r="I49" s="205" t="s">
        <v>25</v>
      </c>
      <c r="J49" s="205" t="s">
        <v>20</v>
      </c>
      <c r="K49" s="206" t="s">
        <v>349</v>
      </c>
      <c r="L49" s="201"/>
      <c r="M49" s="234" t="s">
        <v>2</v>
      </c>
      <c r="N49" s="237" t="s">
        <v>30</v>
      </c>
      <c r="O49" s="238" t="s">
        <v>20</v>
      </c>
      <c r="P49" s="239" t="s">
        <v>356</v>
      </c>
      <c r="R49" s="234" t="s">
        <v>5</v>
      </c>
      <c r="S49" s="237" t="s">
        <v>51</v>
      </c>
      <c r="T49" s="238" t="s">
        <v>26</v>
      </c>
      <c r="U49" s="238" t="s">
        <v>31</v>
      </c>
      <c r="V49" s="239" t="s">
        <v>356</v>
      </c>
      <c r="W49" s="131"/>
      <c r="X49" s="131"/>
      <c r="AB49" s="187"/>
      <c r="AC49" s="187"/>
      <c r="AD49" s="187"/>
      <c r="AE49" s="187"/>
      <c r="AF49" s="187"/>
      <c r="AK49" s="186"/>
      <c r="AL49" s="186"/>
      <c r="AM49" s="186"/>
      <c r="AS49" s="192"/>
      <c r="AT49" s="57"/>
      <c r="AU49" s="57"/>
      <c r="AV49" s="57"/>
      <c r="AW49" s="56"/>
      <c r="BA49" s="192"/>
      <c r="BB49" s="16"/>
      <c r="BC49" s="16"/>
      <c r="BD49" s="16"/>
    </row>
    <row r="50" spans="1:56" ht="13.8">
      <c r="A50" s="164" t="s">
        <v>18</v>
      </c>
      <c r="B50" s="207">
        <v>26</v>
      </c>
      <c r="C50" s="207">
        <v>117</v>
      </c>
      <c r="D50" s="208">
        <v>143</v>
      </c>
      <c r="E50" s="209">
        <f t="shared" ref="E50:E52" si="14">C50*100/212</f>
        <v>55.188679245283019</v>
      </c>
      <c r="F50" s="210"/>
      <c r="G50" s="211" t="s">
        <v>18</v>
      </c>
      <c r="H50" s="212">
        <v>23</v>
      </c>
      <c r="I50" s="212">
        <v>59</v>
      </c>
      <c r="J50" s="212">
        <v>61</v>
      </c>
      <c r="K50" s="212">
        <v>143</v>
      </c>
      <c r="L50" s="201"/>
      <c r="M50" s="237" t="s">
        <v>18</v>
      </c>
      <c r="N50" s="240">
        <v>42</v>
      </c>
      <c r="O50" s="241">
        <v>101</v>
      </c>
      <c r="P50" s="242">
        <v>143</v>
      </c>
      <c r="R50" s="237" t="s">
        <v>21</v>
      </c>
      <c r="S50" s="240">
        <v>2</v>
      </c>
      <c r="T50" s="241">
        <v>6</v>
      </c>
      <c r="U50" s="241">
        <v>31</v>
      </c>
      <c r="V50" s="242">
        <v>39</v>
      </c>
      <c r="Y50" s="234" t="s">
        <v>364</v>
      </c>
      <c r="Z50" s="234" t="s">
        <v>2</v>
      </c>
      <c r="AA50" s="235"/>
      <c r="AB50" s="235"/>
      <c r="AC50" s="236"/>
      <c r="AD50" s="187"/>
      <c r="AE50" s="187"/>
      <c r="AF50" s="187"/>
      <c r="AK50" s="186"/>
      <c r="AL50" s="186"/>
      <c r="AM50" s="186"/>
      <c r="AS50" s="192"/>
      <c r="AT50" s="57"/>
      <c r="AU50" s="57"/>
      <c r="AV50" s="57"/>
      <c r="AW50" s="56"/>
      <c r="BA50" s="192"/>
      <c r="BB50" s="16"/>
      <c r="BC50" s="16"/>
      <c r="BD50" s="16"/>
    </row>
    <row r="51" spans="1:56" ht="13.8">
      <c r="A51" s="164" t="s">
        <v>28</v>
      </c>
      <c r="B51" s="207">
        <v>9</v>
      </c>
      <c r="C51" s="207">
        <v>58</v>
      </c>
      <c r="D51" s="208">
        <v>67</v>
      </c>
      <c r="E51" s="209">
        <f t="shared" si="14"/>
        <v>27.358490566037737</v>
      </c>
      <c r="F51" s="210"/>
      <c r="G51" s="211" t="s">
        <v>28</v>
      </c>
      <c r="H51" s="212">
        <v>26</v>
      </c>
      <c r="I51" s="213">
        <v>20</v>
      </c>
      <c r="J51" s="213">
        <v>21</v>
      </c>
      <c r="K51" s="213">
        <v>67</v>
      </c>
      <c r="L51" s="201"/>
      <c r="M51" s="243" t="s">
        <v>28</v>
      </c>
      <c r="N51" s="244">
        <v>63</v>
      </c>
      <c r="O51" s="245">
        <v>4</v>
      </c>
      <c r="P51" s="246">
        <v>67</v>
      </c>
      <c r="R51" s="243" t="s">
        <v>74</v>
      </c>
      <c r="S51" s="244">
        <v>1</v>
      </c>
      <c r="T51" s="245"/>
      <c r="U51" s="245">
        <v>7</v>
      </c>
      <c r="V51" s="246">
        <v>8</v>
      </c>
      <c r="X51" s="23"/>
      <c r="Y51" s="234" t="s">
        <v>3</v>
      </c>
      <c r="Z51" s="237" t="s">
        <v>18</v>
      </c>
      <c r="AA51" s="238" t="s">
        <v>28</v>
      </c>
      <c r="AB51" s="238" t="s">
        <v>79</v>
      </c>
      <c r="AC51" s="239" t="s">
        <v>356</v>
      </c>
      <c r="AD51" s="187"/>
      <c r="AE51" s="187"/>
      <c r="AF51" s="187"/>
      <c r="AK51" s="186"/>
      <c r="AL51" s="186"/>
      <c r="AM51" s="186"/>
      <c r="AS51" s="192"/>
      <c r="AT51" s="57"/>
      <c r="AU51" s="57"/>
      <c r="AV51" s="193"/>
      <c r="AW51" s="56"/>
      <c r="BA51" s="192"/>
      <c r="BB51" s="194"/>
      <c r="BC51" s="194"/>
      <c r="BD51" s="194"/>
    </row>
    <row r="52" spans="1:56" ht="13.8">
      <c r="A52" s="214" t="s">
        <v>79</v>
      </c>
      <c r="B52" s="215">
        <v>1</v>
      </c>
      <c r="C52" s="215">
        <v>1</v>
      </c>
      <c r="D52" s="216">
        <v>2</v>
      </c>
      <c r="E52" s="63">
        <f t="shared" si="14"/>
        <v>0.47169811320754718</v>
      </c>
      <c r="F52" s="210"/>
      <c r="G52" s="217" t="s">
        <v>79</v>
      </c>
      <c r="H52" s="218"/>
      <c r="I52" s="219">
        <v>1</v>
      </c>
      <c r="J52" s="220">
        <v>1</v>
      </c>
      <c r="K52" s="220">
        <v>2</v>
      </c>
      <c r="L52" s="201"/>
      <c r="M52" s="243" t="s">
        <v>79</v>
      </c>
      <c r="N52" s="244">
        <v>1</v>
      </c>
      <c r="O52" s="245">
        <v>1</v>
      </c>
      <c r="P52" s="246">
        <v>2</v>
      </c>
      <c r="R52" s="243" t="s">
        <v>58</v>
      </c>
      <c r="S52" s="244"/>
      <c r="T52" s="245"/>
      <c r="U52" s="245">
        <v>1</v>
      </c>
      <c r="V52" s="246">
        <v>1</v>
      </c>
      <c r="Y52" s="237" t="s">
        <v>48</v>
      </c>
      <c r="Z52" s="240">
        <v>26</v>
      </c>
      <c r="AA52" s="241">
        <v>19</v>
      </c>
      <c r="AB52" s="241"/>
      <c r="AC52" s="242">
        <v>45</v>
      </c>
      <c r="AD52" s="187"/>
      <c r="AE52" s="187"/>
      <c r="AF52" s="187"/>
      <c r="AK52" s="186"/>
      <c r="AL52" s="186"/>
      <c r="AM52" s="186"/>
      <c r="AS52" s="192"/>
      <c r="AT52" s="57"/>
      <c r="AU52" s="221"/>
      <c r="AV52" s="221"/>
      <c r="AW52" s="56"/>
      <c r="BA52" s="192"/>
      <c r="BB52" s="16"/>
      <c r="BC52" s="16"/>
      <c r="BD52" s="16"/>
    </row>
    <row r="53" spans="1:56" ht="13.8">
      <c r="A53" s="222" t="s">
        <v>349</v>
      </c>
      <c r="B53" s="223">
        <v>36</v>
      </c>
      <c r="C53" s="223">
        <v>176</v>
      </c>
      <c r="D53" s="224">
        <v>212</v>
      </c>
      <c r="E53" s="61">
        <f>D53*100/212</f>
        <v>100</v>
      </c>
      <c r="F53" s="56"/>
      <c r="G53" s="225" t="s">
        <v>349</v>
      </c>
      <c r="H53" s="226">
        <v>49</v>
      </c>
      <c r="I53" s="227">
        <v>80</v>
      </c>
      <c r="J53" s="227">
        <v>83</v>
      </c>
      <c r="K53" s="227">
        <v>212</v>
      </c>
      <c r="L53" s="201"/>
      <c r="M53" s="247" t="s">
        <v>356</v>
      </c>
      <c r="N53" s="248">
        <v>106</v>
      </c>
      <c r="O53" s="249">
        <v>106</v>
      </c>
      <c r="P53" s="250">
        <v>212</v>
      </c>
      <c r="R53" s="243" t="s">
        <v>132</v>
      </c>
      <c r="S53" s="244"/>
      <c r="T53" s="245"/>
      <c r="U53" s="245">
        <v>2</v>
      </c>
      <c r="V53" s="246">
        <v>2</v>
      </c>
      <c r="Y53" s="243" t="s">
        <v>62</v>
      </c>
      <c r="Z53" s="244">
        <v>5</v>
      </c>
      <c r="AA53" s="245">
        <v>2</v>
      </c>
      <c r="AB53" s="245"/>
      <c r="AC53" s="246">
        <v>7</v>
      </c>
      <c r="AD53" s="187"/>
      <c r="AE53" s="187"/>
      <c r="AF53" s="187"/>
      <c r="AK53" s="186"/>
      <c r="AL53" s="186"/>
      <c r="AM53" s="186"/>
      <c r="AS53" s="192"/>
      <c r="AT53" s="57"/>
      <c r="AU53" s="57"/>
      <c r="AV53" s="57"/>
      <c r="AW53" s="56"/>
      <c r="BA53" s="192"/>
      <c r="BB53" s="194"/>
      <c r="BC53" s="16"/>
      <c r="BD53" s="194"/>
    </row>
    <row r="54" spans="1:56" ht="13.8">
      <c r="H54" s="132"/>
      <c r="I54" s="201"/>
      <c r="J54" s="201"/>
      <c r="K54" s="201"/>
      <c r="L54" s="201"/>
      <c r="M54" s="201"/>
      <c r="N54" s="201"/>
      <c r="O54" s="201"/>
      <c r="P54" s="201"/>
      <c r="R54" s="243" t="s">
        <v>35</v>
      </c>
      <c r="S54" s="244"/>
      <c r="T54" s="245">
        <v>14</v>
      </c>
      <c r="U54" s="245">
        <v>48</v>
      </c>
      <c r="V54" s="246">
        <v>62</v>
      </c>
      <c r="W54" s="131"/>
      <c r="X54" s="131"/>
      <c r="Y54" s="243" t="s">
        <v>19</v>
      </c>
      <c r="Z54" s="244">
        <v>104</v>
      </c>
      <c r="AA54" s="245">
        <v>42</v>
      </c>
      <c r="AB54" s="245">
        <v>2</v>
      </c>
      <c r="AC54" s="246">
        <v>148</v>
      </c>
      <c r="AD54" s="187"/>
      <c r="AE54" s="187"/>
      <c r="AF54" s="187"/>
      <c r="AK54" s="186"/>
      <c r="AL54" s="186"/>
      <c r="AM54" s="186"/>
      <c r="AS54" s="192"/>
      <c r="AT54" s="57"/>
      <c r="AU54" s="157"/>
      <c r="AV54" s="228"/>
      <c r="AW54" s="56"/>
      <c r="BA54" s="192"/>
      <c r="BB54" s="194"/>
      <c r="BC54" s="16"/>
      <c r="BD54" s="194"/>
    </row>
    <row r="55" spans="1:56" ht="13.8">
      <c r="H55" s="132"/>
      <c r="I55" s="201"/>
      <c r="J55" s="201"/>
      <c r="K55" s="201"/>
      <c r="L55" s="201"/>
      <c r="M55" s="201"/>
      <c r="N55" s="201"/>
      <c r="O55" s="201"/>
      <c r="P55" s="201"/>
      <c r="R55" s="243" t="s">
        <v>179</v>
      </c>
      <c r="S55" s="244"/>
      <c r="T55" s="245"/>
      <c r="U55" s="245">
        <v>2</v>
      </c>
      <c r="V55" s="246">
        <v>2</v>
      </c>
      <c r="W55" s="131"/>
      <c r="X55" s="131"/>
      <c r="Y55" s="243" t="s">
        <v>97</v>
      </c>
      <c r="Z55" s="244">
        <v>3</v>
      </c>
      <c r="AA55" s="245">
        <v>2</v>
      </c>
      <c r="AB55" s="245"/>
      <c r="AC55" s="246">
        <v>5</v>
      </c>
      <c r="AD55" s="187"/>
      <c r="AE55" s="187"/>
      <c r="AF55" s="187"/>
      <c r="AK55" s="186"/>
      <c r="AL55" s="186"/>
      <c r="AM55" s="186"/>
      <c r="AS55" s="192"/>
      <c r="AT55" s="155"/>
      <c r="AU55" s="155"/>
      <c r="AV55" s="155"/>
      <c r="AW55" s="56"/>
      <c r="BA55" s="192"/>
      <c r="BB55" s="194"/>
      <c r="BC55" s="194"/>
      <c r="BD55" s="194"/>
    </row>
    <row r="56" spans="1:56" ht="13.8">
      <c r="C56" s="229"/>
      <c r="D56" s="229"/>
      <c r="H56" s="132"/>
      <c r="I56" s="201"/>
      <c r="J56" s="201"/>
      <c r="K56" s="201"/>
      <c r="L56" s="201"/>
      <c r="M56" s="201"/>
      <c r="N56" s="201"/>
      <c r="O56" s="201"/>
      <c r="P56" s="201"/>
      <c r="R56" s="243" t="s">
        <v>148</v>
      </c>
      <c r="S56" s="244"/>
      <c r="T56" s="245">
        <v>2</v>
      </c>
      <c r="U56" s="245">
        <v>1</v>
      </c>
      <c r="V56" s="246">
        <v>3</v>
      </c>
      <c r="W56" s="131"/>
      <c r="X56" s="131"/>
      <c r="Y56" s="243" t="s">
        <v>143</v>
      </c>
      <c r="Z56" s="244"/>
      <c r="AA56" s="245">
        <v>1</v>
      </c>
      <c r="AB56" s="245"/>
      <c r="AC56" s="246">
        <v>1</v>
      </c>
      <c r="AD56" s="187"/>
      <c r="AE56" s="187"/>
      <c r="AF56" s="187"/>
      <c r="AK56" s="186"/>
      <c r="AL56" s="186"/>
      <c r="AM56" s="186"/>
      <c r="AS56" s="192"/>
      <c r="AT56" s="155"/>
      <c r="AU56" s="155"/>
      <c r="AV56" s="155"/>
      <c r="AW56" s="56"/>
      <c r="BA56" s="192"/>
      <c r="BB56" s="194"/>
      <c r="BC56" s="194"/>
      <c r="BD56" s="194"/>
    </row>
    <row r="57" spans="1:56" ht="13.8">
      <c r="A57" s="234" t="s">
        <v>358</v>
      </c>
      <c r="B57" s="234" t="s">
        <v>15</v>
      </c>
      <c r="C57" s="235"/>
      <c r="D57" s="235"/>
      <c r="E57" s="236"/>
      <c r="H57" s="132"/>
      <c r="I57" s="201"/>
      <c r="J57" s="201"/>
      <c r="K57" s="201"/>
      <c r="L57" s="201"/>
      <c r="M57" s="201"/>
      <c r="N57" s="201"/>
      <c r="O57" s="201"/>
      <c r="P57" s="201"/>
      <c r="R57" s="243" t="s">
        <v>82</v>
      </c>
      <c r="S57" s="244">
        <v>1</v>
      </c>
      <c r="T57" s="245">
        <v>1</v>
      </c>
      <c r="U57" s="245">
        <v>1</v>
      </c>
      <c r="V57" s="246">
        <v>3</v>
      </c>
      <c r="W57" s="131"/>
      <c r="X57" s="131"/>
      <c r="Y57" s="243" t="s">
        <v>87</v>
      </c>
      <c r="Z57" s="244">
        <v>5</v>
      </c>
      <c r="AA57" s="245">
        <v>1</v>
      </c>
      <c r="AB57" s="245"/>
      <c r="AC57" s="246">
        <v>6</v>
      </c>
      <c r="AD57" s="187"/>
      <c r="AE57" s="187"/>
      <c r="AF57" s="187"/>
      <c r="AK57" s="186"/>
      <c r="AL57" s="186"/>
      <c r="AM57" s="186"/>
      <c r="AS57" s="192"/>
      <c r="AT57" s="155"/>
      <c r="AU57" s="155"/>
      <c r="AV57" s="155"/>
      <c r="AW57" s="56"/>
      <c r="BA57" s="192"/>
      <c r="BB57" s="16"/>
      <c r="BC57" s="16"/>
      <c r="BD57" s="16"/>
    </row>
    <row r="58" spans="1:56" ht="13.8">
      <c r="A58" s="234" t="s">
        <v>5</v>
      </c>
      <c r="B58" s="237" t="s">
        <v>27</v>
      </c>
      <c r="C58" s="238" t="s">
        <v>52</v>
      </c>
      <c r="D58" s="238" t="s">
        <v>34</v>
      </c>
      <c r="E58" s="239" t="s">
        <v>356</v>
      </c>
      <c r="H58" s="132"/>
      <c r="I58" s="201"/>
      <c r="J58" s="201"/>
      <c r="K58" s="201"/>
      <c r="L58" s="201"/>
      <c r="M58" s="201"/>
      <c r="N58" s="201"/>
      <c r="O58" s="201"/>
      <c r="P58" s="201"/>
      <c r="R58" s="243" t="s">
        <v>32</v>
      </c>
      <c r="S58" s="244">
        <v>1</v>
      </c>
      <c r="T58" s="245">
        <v>5</v>
      </c>
      <c r="U58" s="245">
        <v>15</v>
      </c>
      <c r="V58" s="246">
        <v>21</v>
      </c>
      <c r="W58" s="131"/>
      <c r="X58" s="131"/>
      <c r="Y58" s="247" t="s">
        <v>356</v>
      </c>
      <c r="Z58" s="248">
        <v>143</v>
      </c>
      <c r="AA58" s="249">
        <v>67</v>
      </c>
      <c r="AB58" s="249">
        <v>2</v>
      </c>
      <c r="AC58" s="250">
        <v>212</v>
      </c>
      <c r="AD58" s="187"/>
      <c r="AE58" s="187"/>
      <c r="AF58" s="187"/>
      <c r="AK58" s="186"/>
      <c r="AL58" s="186"/>
      <c r="AM58" s="186"/>
      <c r="AS58" s="192"/>
      <c r="AT58" s="57"/>
      <c r="AU58" s="57"/>
      <c r="AV58" s="57"/>
      <c r="AW58" s="56"/>
      <c r="BA58" s="192"/>
      <c r="BB58" s="194"/>
      <c r="BC58" s="16"/>
      <c r="BD58" s="194"/>
    </row>
    <row r="59" spans="1:56" ht="12.6">
      <c r="A59" s="237" t="s">
        <v>21</v>
      </c>
      <c r="B59" s="240">
        <v>32</v>
      </c>
      <c r="C59" s="241">
        <v>2</v>
      </c>
      <c r="D59" s="241">
        <v>5</v>
      </c>
      <c r="E59" s="242">
        <v>39</v>
      </c>
      <c r="G59" s="56"/>
      <c r="H59" s="132"/>
      <c r="I59" s="201"/>
      <c r="J59" s="201"/>
      <c r="K59" s="201"/>
      <c r="L59" s="201"/>
      <c r="M59" s="201"/>
      <c r="N59" s="201"/>
      <c r="O59" s="201"/>
      <c r="P59" s="201"/>
      <c r="R59" s="243" t="s">
        <v>39</v>
      </c>
      <c r="S59" s="244">
        <v>6</v>
      </c>
      <c r="T59" s="245">
        <v>10</v>
      </c>
      <c r="U59" s="245">
        <v>29</v>
      </c>
      <c r="V59" s="246">
        <v>45</v>
      </c>
      <c r="W59" s="131"/>
      <c r="X59" s="131"/>
      <c r="AB59" s="192"/>
      <c r="AC59" s="155"/>
      <c r="AD59" s="45"/>
      <c r="AE59" s="45"/>
      <c r="AF59" s="155"/>
      <c r="AS59" s="192"/>
      <c r="AT59" s="57"/>
      <c r="AU59" s="57"/>
      <c r="AV59" s="57"/>
      <c r="AW59" s="56"/>
    </row>
    <row r="60" spans="1:56" ht="13.8">
      <c r="A60" s="243" t="s">
        <v>74</v>
      </c>
      <c r="B60" s="244">
        <v>6</v>
      </c>
      <c r="C60" s="245">
        <v>1</v>
      </c>
      <c r="D60" s="245">
        <v>1</v>
      </c>
      <c r="E60" s="246">
        <v>8</v>
      </c>
      <c r="G60" s="56"/>
      <c r="H60" s="132"/>
      <c r="I60" s="201"/>
      <c r="J60" s="201"/>
      <c r="K60" s="201"/>
      <c r="L60" s="201"/>
      <c r="M60" s="201"/>
      <c r="N60" s="201"/>
      <c r="O60" s="201"/>
      <c r="P60" s="201"/>
      <c r="R60" s="243" t="s">
        <v>83</v>
      </c>
      <c r="S60" s="244"/>
      <c r="T60" s="245">
        <v>3</v>
      </c>
      <c r="U60" s="245">
        <v>2</v>
      </c>
      <c r="V60" s="246">
        <v>5</v>
      </c>
      <c r="AM60" s="14"/>
    </row>
    <row r="61" spans="1:56" ht="12.6">
      <c r="A61" s="243" t="s">
        <v>58</v>
      </c>
      <c r="B61" s="244"/>
      <c r="C61" s="245"/>
      <c r="D61" s="245">
        <v>1</v>
      </c>
      <c r="E61" s="246">
        <v>1</v>
      </c>
      <c r="G61" s="56"/>
      <c r="H61" s="26"/>
      <c r="I61" s="57"/>
      <c r="J61" s="45"/>
      <c r="K61" s="57"/>
      <c r="L61" s="57"/>
      <c r="M61" s="57"/>
      <c r="N61" s="57"/>
      <c r="R61" s="243" t="s">
        <v>89</v>
      </c>
      <c r="S61" s="244"/>
      <c r="T61" s="245"/>
      <c r="U61" s="245">
        <v>3</v>
      </c>
      <c r="V61" s="246">
        <v>3</v>
      </c>
    </row>
    <row r="62" spans="1:56" ht="13.8">
      <c r="A62" s="243" t="s">
        <v>132</v>
      </c>
      <c r="B62" s="244">
        <v>2</v>
      </c>
      <c r="C62" s="245"/>
      <c r="D62" s="245"/>
      <c r="E62" s="246">
        <v>2</v>
      </c>
      <c r="G62" s="56"/>
      <c r="H62" s="26"/>
      <c r="I62" s="57"/>
      <c r="J62" s="57"/>
      <c r="K62" s="57"/>
      <c r="L62" s="57"/>
      <c r="M62" s="57"/>
      <c r="N62" s="57"/>
      <c r="R62" s="243" t="s">
        <v>357</v>
      </c>
      <c r="S62" s="244">
        <v>2</v>
      </c>
      <c r="T62" s="245">
        <v>5</v>
      </c>
      <c r="U62" s="245">
        <v>11</v>
      </c>
      <c r="V62" s="246">
        <v>18</v>
      </c>
      <c r="AB62" s="14"/>
    </row>
    <row r="63" spans="1:56" ht="12.6">
      <c r="A63" s="243" t="s">
        <v>35</v>
      </c>
      <c r="B63" s="244">
        <v>41</v>
      </c>
      <c r="C63" s="245">
        <v>4</v>
      </c>
      <c r="D63" s="245">
        <v>17</v>
      </c>
      <c r="E63" s="246">
        <v>62</v>
      </c>
      <c r="G63" s="56"/>
      <c r="H63" s="26"/>
      <c r="I63" s="57"/>
      <c r="J63" s="57"/>
      <c r="K63" s="57"/>
      <c r="L63" s="57"/>
      <c r="M63" s="57"/>
      <c r="N63" s="57"/>
      <c r="R63" s="247" t="s">
        <v>356</v>
      </c>
      <c r="S63" s="248">
        <v>13</v>
      </c>
      <c r="T63" s="249">
        <v>46</v>
      </c>
      <c r="U63" s="249">
        <v>153</v>
      </c>
      <c r="V63" s="250">
        <v>212</v>
      </c>
    </row>
    <row r="64" spans="1:56" ht="12.6">
      <c r="A64" s="243" t="s">
        <v>179</v>
      </c>
      <c r="B64" s="244"/>
      <c r="C64" s="245"/>
      <c r="D64" s="245">
        <v>2</v>
      </c>
      <c r="E64" s="246">
        <v>2</v>
      </c>
      <c r="G64" s="56"/>
      <c r="H64" s="26"/>
      <c r="I64" s="57"/>
      <c r="J64" s="57"/>
      <c r="K64" s="57"/>
      <c r="L64" s="57"/>
      <c r="M64" s="57"/>
      <c r="N64" s="57"/>
    </row>
    <row r="65" spans="1:14" ht="12.6">
      <c r="A65" s="243" t="s">
        <v>148</v>
      </c>
      <c r="B65" s="244">
        <v>2</v>
      </c>
      <c r="C65" s="245"/>
      <c r="D65" s="245">
        <v>1</v>
      </c>
      <c r="E65" s="246">
        <v>3</v>
      </c>
      <c r="G65" s="56"/>
      <c r="H65" s="26"/>
      <c r="I65" s="57"/>
      <c r="J65" s="57"/>
      <c r="K65" s="57"/>
      <c r="L65" s="57"/>
      <c r="M65" s="57"/>
      <c r="N65" s="57"/>
    </row>
    <row r="66" spans="1:14" ht="12.6">
      <c r="A66" s="243" t="s">
        <v>82</v>
      </c>
      <c r="B66" s="244">
        <v>2</v>
      </c>
      <c r="C66" s="245"/>
      <c r="D66" s="245">
        <v>1</v>
      </c>
      <c r="E66" s="246">
        <v>3</v>
      </c>
      <c r="G66" s="56"/>
      <c r="H66" s="26"/>
      <c r="I66" s="57"/>
      <c r="J66" s="57"/>
      <c r="K66" s="57"/>
      <c r="L66" s="57"/>
      <c r="M66" s="57"/>
      <c r="N66" s="57"/>
    </row>
    <row r="67" spans="1:14" ht="12.6">
      <c r="A67" s="243" t="s">
        <v>32</v>
      </c>
      <c r="B67" s="244">
        <v>9</v>
      </c>
      <c r="C67" s="245">
        <v>3</v>
      </c>
      <c r="D67" s="245">
        <v>9</v>
      </c>
      <c r="E67" s="246">
        <v>21</v>
      </c>
      <c r="H67" s="26"/>
      <c r="I67" s="57"/>
      <c r="J67" s="57"/>
      <c r="K67" s="57"/>
      <c r="L67" s="57"/>
      <c r="M67" s="57"/>
      <c r="N67" s="57"/>
    </row>
    <row r="68" spans="1:14" ht="12.6">
      <c r="A68" s="243" t="s">
        <v>39</v>
      </c>
      <c r="B68" s="244">
        <v>28</v>
      </c>
      <c r="C68" s="245">
        <v>6</v>
      </c>
      <c r="D68" s="245">
        <v>11</v>
      </c>
      <c r="E68" s="246">
        <v>45</v>
      </c>
      <c r="H68" s="26"/>
      <c r="I68" s="57"/>
      <c r="J68" s="57"/>
      <c r="K68" s="57"/>
      <c r="L68" s="57"/>
      <c r="M68" s="57"/>
      <c r="N68" s="57"/>
    </row>
    <row r="69" spans="1:14" ht="12.6">
      <c r="A69" s="243" t="s">
        <v>83</v>
      </c>
      <c r="B69" s="244">
        <v>2</v>
      </c>
      <c r="C69" s="245"/>
      <c r="D69" s="245">
        <v>3</v>
      </c>
      <c r="E69" s="246">
        <v>5</v>
      </c>
      <c r="H69" s="26"/>
      <c r="I69" s="57"/>
      <c r="J69" s="57"/>
      <c r="K69" s="57"/>
      <c r="L69" s="57"/>
      <c r="M69" s="57"/>
      <c r="N69" s="57"/>
    </row>
    <row r="70" spans="1:14" ht="12.6">
      <c r="A70" s="243" t="s">
        <v>89</v>
      </c>
      <c r="B70" s="244">
        <v>2</v>
      </c>
      <c r="C70" s="245"/>
      <c r="D70" s="245">
        <v>1</v>
      </c>
      <c r="E70" s="246">
        <v>3</v>
      </c>
      <c r="H70" s="23"/>
      <c r="I70" s="56"/>
      <c r="K70" s="56"/>
      <c r="L70" s="56"/>
      <c r="M70" s="56"/>
      <c r="N70" s="56"/>
    </row>
    <row r="71" spans="1:14" ht="12.6">
      <c r="A71" s="243" t="s">
        <v>357</v>
      </c>
      <c r="B71" s="244">
        <v>7</v>
      </c>
      <c r="C71" s="245">
        <v>1</v>
      </c>
      <c r="D71" s="245">
        <v>10</v>
      </c>
      <c r="E71" s="246">
        <v>18</v>
      </c>
    </row>
    <row r="72" spans="1:14" ht="12.6">
      <c r="A72" s="247" t="s">
        <v>356</v>
      </c>
      <c r="B72" s="248">
        <v>133</v>
      </c>
      <c r="C72" s="249">
        <v>17</v>
      </c>
      <c r="D72" s="249">
        <v>62</v>
      </c>
      <c r="E72" s="250">
        <v>212</v>
      </c>
    </row>
  </sheetData>
  <mergeCells count="3">
    <mergeCell ref="A1:C1"/>
    <mergeCell ref="G23:O23"/>
    <mergeCell ref="S23:W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"/>
  <sheetViews>
    <sheetView workbookViewId="0"/>
  </sheetViews>
  <sheetFormatPr defaultColWidth="11.1796875" defaultRowHeight="15.75" customHeight="1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70"/>
  <sheetViews>
    <sheetView topLeftCell="A94" workbookViewId="0"/>
  </sheetViews>
  <sheetFormatPr defaultColWidth="11.1796875" defaultRowHeight="15.75" customHeight="1"/>
  <sheetData>
    <row r="1" spans="1:25" ht="15.75" customHeight="1">
      <c r="C1" s="17"/>
    </row>
    <row r="5" spans="1:25" ht="15">
      <c r="I5" s="25"/>
      <c r="J5" s="25"/>
      <c r="K5" s="25"/>
      <c r="Y5" s="230"/>
    </row>
    <row r="6" spans="1:25" ht="15.75" customHeight="1">
      <c r="I6" s="26"/>
      <c r="J6" s="45"/>
      <c r="K6" s="231"/>
    </row>
    <row r="7" spans="1:25" ht="15.75" customHeight="1">
      <c r="I7" s="26"/>
      <c r="J7" s="26"/>
      <c r="K7" s="27"/>
    </row>
    <row r="8" spans="1:25" ht="15.75" customHeight="1">
      <c r="I8" s="26"/>
      <c r="J8" s="26"/>
      <c r="K8" s="27"/>
    </row>
    <row r="9" spans="1:25" ht="15.75" customHeight="1">
      <c r="I9" s="26"/>
      <c r="J9" s="26"/>
      <c r="K9" s="27"/>
    </row>
    <row r="10" spans="1:25" ht="15.75" customHeight="1">
      <c r="A10" s="21"/>
      <c r="I10" s="26"/>
      <c r="J10" s="26"/>
      <c r="K10" s="27"/>
    </row>
    <row r="11" spans="1:25" ht="15.75" customHeight="1">
      <c r="A11" s="14"/>
      <c r="B11" s="21"/>
      <c r="I11" s="183"/>
      <c r="J11" s="232"/>
      <c r="K11" s="27"/>
    </row>
    <row r="12" spans="1:25" ht="15.75" customHeight="1">
      <c r="I12" s="183"/>
      <c r="J12" s="232"/>
      <c r="K12" s="27"/>
    </row>
    <row r="13" spans="1:25" ht="15.75" customHeight="1">
      <c r="I13" s="26"/>
      <c r="J13" s="45"/>
      <c r="K13" s="27"/>
    </row>
    <row r="16" spans="1:25" ht="15.75" customHeight="1">
      <c r="A16" s="201"/>
      <c r="B16" s="201"/>
      <c r="C16" s="201"/>
      <c r="D16" s="201"/>
      <c r="E16" s="201"/>
      <c r="U16" s="14"/>
    </row>
    <row r="17" spans="1:26" ht="15.75" customHeight="1">
      <c r="A17" s="201"/>
      <c r="B17" s="201"/>
      <c r="C17" s="201"/>
      <c r="D17" s="201"/>
      <c r="E17" s="201"/>
      <c r="F17" s="201"/>
      <c r="G17" s="201"/>
      <c r="H17" s="201"/>
      <c r="I17" s="201"/>
      <c r="J17" s="201"/>
      <c r="K17" s="201"/>
      <c r="S17" s="233"/>
      <c r="T17" s="233"/>
      <c r="U17" s="233"/>
      <c r="V17" s="233"/>
      <c r="W17" s="233"/>
      <c r="X17" s="233"/>
      <c r="Y17" s="233"/>
      <c r="Z17" s="233"/>
    </row>
    <row r="18" spans="1:26" ht="15.75" customHeight="1">
      <c r="A18" s="201"/>
      <c r="B18" s="201"/>
      <c r="C18" s="201"/>
      <c r="D18" s="201"/>
      <c r="E18" s="201"/>
    </row>
    <row r="19" spans="1:26" ht="15.75" customHeight="1">
      <c r="A19" s="201"/>
      <c r="B19" s="201"/>
      <c r="C19" s="201"/>
      <c r="D19" s="201"/>
      <c r="E19" s="201"/>
    </row>
    <row r="20" spans="1:26" ht="15.75" customHeight="1">
      <c r="A20" s="201"/>
      <c r="B20" s="201"/>
      <c r="C20" s="201"/>
      <c r="D20" s="201"/>
      <c r="E20" s="201"/>
    </row>
    <row r="35" spans="7:11" ht="15.75" customHeight="1">
      <c r="G35" s="14"/>
      <c r="H35" s="14"/>
      <c r="I35" s="14"/>
      <c r="J35" s="14"/>
      <c r="K35" s="14"/>
    </row>
    <row r="50" spans="8:22" ht="13.8">
      <c r="H50" s="14"/>
      <c r="N50" s="14"/>
      <c r="V50" s="14"/>
    </row>
    <row r="70" spans="13:13" ht="12.6">
      <c r="M70" s="23" t="s">
        <v>354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Dados excel</vt:lpstr>
      <vt:lpstr>folha de calculos</vt:lpstr>
      <vt:lpstr>tabelas dinâmicas</vt:lpstr>
      <vt:lpstr>Folha10</vt:lpstr>
      <vt:lpstr>Gráficos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Joao Orvalho</cp:lastModifiedBy>
  <dcterms:modified xsi:type="dcterms:W3CDTF">2022-04-28T18:18:56Z</dcterms:modified>
</cp:coreProperties>
</file>